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backupFile="1" codeName="ThisWorkbook"/>
  <mc:AlternateContent xmlns:mc="http://schemas.openxmlformats.org/markup-compatibility/2006">
    <mc:Choice Requires="x15">
      <x15ac:absPath xmlns:x15ac="http://schemas.microsoft.com/office/spreadsheetml/2010/11/ac" url="https://univorleansfr-my.sharepoint.com/personal/o22101515_campus_univ-orleans_fr/Documents/Space'Tech Orléans/INDRA/Indra-Project/StabTraj/"/>
    </mc:Choice>
  </mc:AlternateContent>
  <xr:revisionPtr revIDLastSave="15" documentId="13_ncr:1_{07BF5856-6F00-4913-86D7-FFEE903B7D6A}" xr6:coauthVersionLast="47" xr6:coauthVersionMax="47" xr10:uidLastSave="{740CDCCF-1661-46B8-8C5E-1C0FEA25A121}"/>
  <bookViews>
    <workbookView xWindow="3000" yWindow="3000" windowWidth="17280" windowHeight="8928"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Abaco!$G$41:$G$67</definedName>
    <definedName name="Acc_max">Trajecto!$L$24</definedName>
    <definedName name="acc_x">Calculs!$D$4:$D$1004</definedName>
    <definedName name="acc_xz">Calculs!$F$4:$F$1004</definedName>
    <definedName name="acc_z">Calculs!$E$4:$E$1004</definedName>
    <definedName name="Alt_para">Trajecto!$I$27</definedName>
    <definedName name="alt_prop">Abaco!$J$41:$J$67</definedName>
    <definedName name="Alt_rampe">Trajecto!$C$20</definedName>
    <definedName name="Alt_sat">Trajecto!$I$25</definedName>
    <definedName name="Altitude_culmi">Trajecto!$I$26</definedName>
    <definedName name="b_bal">Abaco!$I$41:$I$67</definedName>
    <definedName name="b_prop">Abaco!$H$41:$H$67</definedName>
    <definedName name="Beta">Calculs!$M$4:$M$1004</definedName>
    <definedName name="Beta_rampe">Trajecto!$C$19</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Trajecto!$C$15</definedName>
    <definedName name="Cx_para">Trajecto!$C$28</definedName>
    <definedName name="Cx_satellite">Trajecto!$D$28</definedName>
    <definedName name="D_ail">Stabilito!$C$34</definedName>
    <definedName name="D_can" localSheetId="0">Stabilito!$D$34</definedName>
    <definedName name="D_int" localSheetId="0">Stabilito!$E$34</definedName>
    <definedName name="D_og">Stabilito!$C$23</definedName>
    <definedName name="D_ref">Stabilito!$C$14</definedName>
    <definedName name="D_var">Abaco!$B$41:$B$67</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Trajecto!$C$31</definedName>
    <definedName name="Dt_satellite">Trajecto!$D$31</definedName>
    <definedName name="Dx_para">Trajecto!$C$33</definedName>
    <definedName name="Dx_sat">Trajecto!$D$33</definedName>
    <definedName name="E_ail">Stabilito!$C$30</definedName>
    <definedName name="E_can">Stabilito!$D$30</definedName>
    <definedName name="E_int" localSheetId="0">Stabilito!$E$30</definedName>
    <definedName name="ep_ail">Stabilito!$C$31</definedName>
    <definedName name="ep_can">Stabilito!$D$31</definedName>
    <definedName name="ep_int" localSheetId="0">Stabilito!$E$31</definedName>
    <definedName name="Event">Calculs!$Y$4:$Y$1004</definedName>
    <definedName name="Event_para">Calculs!$Z$4:$Z$1004</definedName>
    <definedName name="Event_sat">Calculs!$AA$4:$AA$1004</definedName>
    <definedName name="f_ail" localSheetId="0">Stabilito!$C$35</definedName>
    <definedName name="f_can" localSheetId="0">Stabilito!$D$35</definedName>
    <definedName name="f_int" localSheetId="0">Stabilito!$E$35</definedName>
    <definedName name="Finesse">Stabilito!$H$27</definedName>
    <definedName name="Forme_ogive">Stabilito!$C$21</definedName>
    <definedName name="g">Info!$E$52</definedName>
    <definedName name="i_P">Calculs!$P$4:$P$1004</definedName>
    <definedName name="I_total">Propu!$D$2</definedName>
    <definedName name="ISP">Propu!$F$2</definedName>
    <definedName name="l_j">Stabilito!$M$6</definedName>
    <definedName name="l_r">Stabilito!$O$6</definedName>
    <definedName name="L_rampe">Trajecto!$C$18</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Propu!$A$317:$A$330</definedName>
    <definedName name="Liste_RC">Propu!$I$317:$J$346</definedName>
    <definedName name="Long_ogive">Stabilito!$C$22</definedName>
    <definedName name="Long_propu">Propu!$R$2</definedName>
    <definedName name="Long_tot">Stabilito!$C$13</definedName>
    <definedName name="m">Calculs!$S$4:$S$1004</definedName>
    <definedName name="m_ail">Stabilito!$C$27</definedName>
    <definedName name="m_bal">Abaco!$F$41:$F$67</definedName>
    <definedName name="m_can">Stabilito!$D$27</definedName>
    <definedName name="m_int" localSheetId="0">Stabilito!$E$27</definedName>
    <definedName name="m_poudre">Propu!$J$2</definedName>
    <definedName name="m_prop">Abaco!$E$41:$E$67</definedName>
    <definedName name="m_satellite">Trajecto!$D$24</definedName>
    <definedName name="m_tot">Trajecto!$C$10</definedName>
    <definedName name="m_var">Abaco!$D$41:$D$67</definedName>
    <definedName name="m_vide">Trajecto!$C$24</definedName>
    <definedName name="Masse_ail">Controle!$H$63</definedName>
    <definedName name="MassePlein">Stabilito!$M$14</definedName>
    <definedName name="MasseSans">Stabilito!$P$14</definedName>
    <definedName name="MasseVide">Stabilito!$N$14</definedName>
    <definedName name="Menu_Empennage">Stabilito!$B$111:$B$112</definedName>
    <definedName name="Menu_Lang">Stabilito!$B$93:$B$94</definedName>
    <definedName name="Menu_Ogive">Stabilito!$B$107:$B$109</definedName>
    <definedName name="Menu_sat">Trajecto!$B$104:$B$105</definedName>
    <definedName name="Menu_Transitions">Stabilito!$B$114:$B$115</definedName>
    <definedName name="Menu_Type">Stabilito!$B$96:$B$100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Stabilito!$C$28</definedName>
    <definedName name="n_can">Stabilito!$D$28</definedName>
    <definedName name="n_int" localSheetId="0">Stabilito!$E$28</definedName>
    <definedName name="Nb_diam">Stabilito!$M$4</definedName>
    <definedName name="Nb_sat">Trajecto!$D$23</definedName>
    <definedName name="Nom">Stabilito!$C$8</definedName>
    <definedName name="p_ail">Stabilito!$C$29</definedName>
    <definedName name="p_can">Stabilito!$D$29</definedName>
    <definedName name="p_int" localSheetId="0">Stabilito!$E$29</definedName>
    <definedName name="pas">Calculs!$A$4:$A$1004</definedName>
    <definedName name="Poids">Calculs!$T$4:$T$1004</definedName>
    <definedName name="Portee_balistique">Trajecto!$J$28</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Stabilito!$C$17</definedName>
    <definedName name="Q_ail">Stabilito!$C$32</definedName>
    <definedName name="Q_can">Stabilito!$D$32</definedName>
    <definedName name="Q_int" localSheetId="0">Stabilito!$E$32</definedName>
    <definedName name="Q_var">Abaco!$C$41:$C$67</definedName>
    <definedName name="R_rampe">Calculs!$U$4:$U$1004</definedName>
    <definedName name="Rho">Calculs!$V$4:$V$1004</definedName>
    <definedName name="Rho_moyen">Info!$E$53</definedName>
    <definedName name="S_ail">Controle!$H$64</definedName>
    <definedName name="S_para">Trajecto!$C$27</definedName>
    <definedName name="S_para_croix">Trajecto!$B$47</definedName>
    <definedName name="S_para_rond">Trajecto!$B$55</definedName>
    <definedName name="S_satellite">Trajecto!$D$27</definedName>
    <definedName name="Sref">Trajecto!$C$14</definedName>
    <definedName name="sS">Trajecto!$F$132</definedName>
    <definedName name="t">Calculs!$B$4:$B$1004</definedName>
    <definedName name="T_balistique">Trajecto!$H$28</definedName>
    <definedName name="T_ini">Trajecto!$H$40</definedName>
    <definedName name="T_para">Trajecto!$C$113</definedName>
    <definedName name="T_satellite">Trajecto!$D$26</definedName>
    <definedName name="Temps_culmi">Trajecto!$H$26</definedName>
    <definedName name="Temps_fin_propu">Propu!$X$3</definedName>
    <definedName name="Trainee">Calculs!$W$4:$W$1004</definedName>
    <definedName name="tT_fus">Trajecto!$F$133</definedName>
    <definedName name="tT_sat">Trajecto!$F$150</definedName>
    <definedName name="Type_fusee">Stabilito!$C$10</definedName>
    <definedName name="Type_masquage" localSheetId="5">Stabilito!$C$26</definedName>
    <definedName name="Type_masquage" localSheetId="0">Stabilito!$C$26</definedName>
    <definedName name="Type_propu">Propu!$V$2</definedName>
    <definedName name="V_ini">Trajecto!$K$40</definedName>
    <definedName name="V_ouv_sat">Trajecto!$K$25</definedName>
    <definedName name="V_ouverture">Trajecto!$K$27</definedName>
    <definedName name="V_para">Trajecto!$C$30</definedName>
    <definedName name="V_prop">Abaco!$K$41:$K$67</definedName>
    <definedName name="V_satellite">Trajecto!$D$30</definedName>
    <definedName name="V_vent">Trajecto!$C$29</definedName>
    <definedName name="V_vent_sat">Trajecto!$D$29</definedName>
    <definedName name="Version" localSheetId="0">Stabilito!$Q$36</definedName>
    <definedName name="Version" localSheetId="1">Trajecto!$N$35</definedName>
    <definedName name="Vit_culmi">Trajecto!$K$26</definedName>
    <definedName name="Vit_max">Trajecto!$K$24</definedName>
    <definedName name="vit_x">Calculs!$G$4:$G$1004</definedName>
    <definedName name="vit_xz">Calculs!$I$4:$I$1004</definedName>
    <definedName name="vit_z">Calculs!$H$4:$H$1004</definedName>
    <definedName name="Vsortie_de_rampe">Trajecto!$K$23</definedName>
    <definedName name="X_ail">Stabilito!$C$33</definedName>
    <definedName name="X_can">Stabilito!$D$33</definedName>
    <definedName name="X_culmi">Trajecto!$J$26</definedName>
    <definedName name="X_ini">Trajecto!$J$40</definedName>
    <definedName name="X_int" localSheetId="0">Stabilito!$E$33</definedName>
    <definedName name="X_j">Stabilito!$M$9</definedName>
    <definedName name="X_para">Trajecto!$J$27</definedName>
    <definedName name="X_r">Stabilito!$O$9</definedName>
    <definedName name="X_satellite">Trajecto!$J$25</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Stabilito!$C$18</definedName>
    <definedName name="XpropuVide">Propu!$P$2</definedName>
    <definedName name="Z_ini">Trajecto!$I$40</definedName>
    <definedName name="_xlnm.Print_Area" localSheetId="5">Abaco!$A$1:$M$35</definedName>
    <definedName name="_xlnm.Print_Area" localSheetId="2">Courbes!$A$1:$K$78</definedName>
    <definedName name="_xlnm.Print_Area" localSheetId="0">Stabilito!$A$1:$Q$37</definedName>
    <definedName name="_xlnm.Print_Area" localSheetId="1">Trajecto!$A$1:$N$35</definedName>
    <definedName name="zZ_fus">Trajecto!$F$134</definedName>
    <definedName name="zZ_sat">Trajecto!$F$151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3" i="6" l="1"/>
  <c r="C14" i="6"/>
  <c r="H6" i="7" s="1"/>
  <c r="X307" i="4"/>
  <c r="W307" i="4"/>
  <c r="V307" i="4"/>
  <c r="U307" i="4"/>
  <c r="T307" i="4"/>
  <c r="S307" i="4"/>
  <c r="R307" i="4"/>
  <c r="Q307" i="4"/>
  <c r="P307" i="4"/>
  <c r="O307" i="4"/>
  <c r="N307" i="4"/>
  <c r="M307" i="4"/>
  <c r="L307" i="4"/>
  <c r="K307" i="4"/>
  <c r="J307" i="4"/>
  <c r="I307" i="4"/>
  <c r="H307" i="4"/>
  <c r="G307" i="4"/>
  <c r="F307" i="4"/>
  <c r="E307" i="4"/>
  <c r="D307" i="4"/>
  <c r="C307" i="4"/>
  <c r="B307" i="4"/>
  <c r="J304" i="4"/>
  <c r="B304" i="4"/>
  <c r="O7" i="6"/>
  <c r="O8" i="6"/>
  <c r="M7" i="6"/>
  <c r="C19" i="6"/>
  <c r="L322" i="4"/>
  <c r="L324" i="4"/>
  <c r="L325" i="4"/>
  <c r="L326" i="4"/>
  <c r="L320" i="4"/>
  <c r="L319" i="4"/>
  <c r="L318" i="4"/>
  <c r="L317" i="4"/>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H100" i="4" s="1"/>
  <c r="J98" i="4"/>
  <c r="K98" i="4"/>
  <c r="L98" i="4"/>
  <c r="M98" i="4"/>
  <c r="N98" i="4"/>
  <c r="O98" i="4"/>
  <c r="P98" i="4"/>
  <c r="Q98" i="4"/>
  <c r="R98" i="4"/>
  <c r="C103" i="4"/>
  <c r="C98" i="4"/>
  <c r="X104" i="4"/>
  <c r="W104" i="4"/>
  <c r="V104" i="4"/>
  <c r="U104" i="4"/>
  <c r="T104" i="4"/>
  <c r="S104" i="4"/>
  <c r="R104" i="4"/>
  <c r="R105" i="4" s="1"/>
  <c r="Q104" i="4"/>
  <c r="P104" i="4"/>
  <c r="O104" i="4"/>
  <c r="N105" i="4"/>
  <c r="N104" i="4"/>
  <c r="M104" i="4"/>
  <c r="L104" i="4"/>
  <c r="K104" i="4"/>
  <c r="J104" i="4"/>
  <c r="I104" i="4"/>
  <c r="H104" i="4"/>
  <c r="G104" i="4"/>
  <c r="F104" i="4"/>
  <c r="E104" i="4"/>
  <c r="E105" i="4" s="1"/>
  <c r="D104" i="4"/>
  <c r="C104" i="4"/>
  <c r="B105" i="4" s="1"/>
  <c r="B104" i="4"/>
  <c r="L102" i="4"/>
  <c r="H102" i="4"/>
  <c r="B102" i="4"/>
  <c r="X99" i="4"/>
  <c r="W99" i="4"/>
  <c r="V99" i="4"/>
  <c r="U99" i="4"/>
  <c r="T99" i="4"/>
  <c r="S99" i="4"/>
  <c r="R100" i="4" s="1"/>
  <c r="R99" i="4"/>
  <c r="Q99" i="4"/>
  <c r="P99" i="4"/>
  <c r="O99" i="4"/>
  <c r="N99" i="4"/>
  <c r="M99" i="4"/>
  <c r="L99" i="4"/>
  <c r="K99" i="4"/>
  <c r="J99" i="4"/>
  <c r="I99" i="4"/>
  <c r="H99" i="4"/>
  <c r="G99" i="4"/>
  <c r="F99" i="4"/>
  <c r="E99" i="4"/>
  <c r="E100" i="4" s="1"/>
  <c r="D99" i="4"/>
  <c r="C99" i="4"/>
  <c r="B99" i="4"/>
  <c r="L97" i="4"/>
  <c r="H97" i="4"/>
  <c r="B97" i="4"/>
  <c r="X95" i="4"/>
  <c r="W95" i="4"/>
  <c r="V95" i="4"/>
  <c r="U95" i="4"/>
  <c r="T95" i="4"/>
  <c r="S95" i="4"/>
  <c r="R95" i="4"/>
  <c r="Q95" i="4"/>
  <c r="P95" i="4"/>
  <c r="O95" i="4"/>
  <c r="N95" i="4"/>
  <c r="M95" i="4"/>
  <c r="L95" i="4"/>
  <c r="K95" i="4"/>
  <c r="J95" i="4"/>
  <c r="I95" i="4"/>
  <c r="H95" i="4"/>
  <c r="G95" i="4"/>
  <c r="F95" i="4"/>
  <c r="E95" i="4"/>
  <c r="D95" i="4"/>
  <c r="D92" i="4" s="1"/>
  <c r="F92" i="4" s="1"/>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5" i="7"/>
  <c r="K23" i="7"/>
  <c r="J26" i="7"/>
  <c r="J25" i="7"/>
  <c r="J23" i="7"/>
  <c r="G27" i="7"/>
  <c r="G26" i="7"/>
  <c r="F26" i="7"/>
  <c r="G25" i="7"/>
  <c r="F25" i="7"/>
  <c r="G24" i="7"/>
  <c r="F24" i="7"/>
  <c r="G23" i="7"/>
  <c r="F23" i="7"/>
  <c r="D27" i="7"/>
  <c r="D24" i="7"/>
  <c r="B31" i="6"/>
  <c r="B30" i="6"/>
  <c r="B29" i="6"/>
  <c r="B28" i="6"/>
  <c r="B27" i="6"/>
  <c r="B35" i="6"/>
  <c r="B34" i="6"/>
  <c r="B33" i="6"/>
  <c r="B32" i="6"/>
  <c r="U35" i="7"/>
  <c r="U34" i="7"/>
  <c r="U33" i="7"/>
  <c r="U32" i="7"/>
  <c r="U31" i="7"/>
  <c r="U30" i="7"/>
  <c r="P32" i="7"/>
  <c r="P31" i="7"/>
  <c r="Q34" i="7"/>
  <c r="P29" i="7"/>
  <c r="U20" i="7"/>
  <c r="Q17" i="7"/>
  <c r="U16" i="7"/>
  <c r="U13" i="7"/>
  <c r="Q12" i="7"/>
  <c r="U11" i="7"/>
  <c r="Q3" i="7"/>
  <c r="E17" i="7"/>
  <c r="E16" i="7"/>
  <c r="E15" i="7"/>
  <c r="E13" i="7"/>
  <c r="B52" i="1"/>
  <c r="B50" i="1"/>
  <c r="B55" i="1"/>
  <c r="C27" i="1" s="1"/>
  <c r="D27" i="1"/>
  <c r="I69" i="7" s="1"/>
  <c r="D24" i="1"/>
  <c r="E29" i="1" s="1"/>
  <c r="C18" i="1"/>
  <c r="H8" i="7" s="1"/>
  <c r="C161" i="6"/>
  <c r="C162" i="6"/>
  <c r="C160" i="6"/>
  <c r="C159" i="6"/>
  <c r="C158" i="6"/>
  <c r="C25" i="6"/>
  <c r="M21" i="6"/>
  <c r="C140" i="6"/>
  <c r="C18" i="6"/>
  <c r="D25" i="7" s="1"/>
  <c r="F108" i="1"/>
  <c r="C113" i="1" s="1"/>
  <c r="C152" i="1"/>
  <c r="C150" i="1"/>
  <c r="C148" i="1"/>
  <c r="N33" i="1"/>
  <c r="C131" i="1"/>
  <c r="B25" i="1"/>
  <c r="J30" i="6"/>
  <c r="E191" i="6" s="1"/>
  <c r="G30" i="6"/>
  <c r="E182" i="6" s="1"/>
  <c r="J29" i="6"/>
  <c r="B188" i="6" s="1"/>
  <c r="G29" i="6"/>
  <c r="J28" i="6"/>
  <c r="C185" i="6" s="1"/>
  <c r="J27" i="6"/>
  <c r="G28" i="6"/>
  <c r="G27" i="6"/>
  <c r="W35" i="6"/>
  <c r="B100" i="6"/>
  <c r="B97" i="6"/>
  <c r="B98"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U256" i="4"/>
  <c r="X231" i="4"/>
  <c r="W231" i="4"/>
  <c r="V231" i="4"/>
  <c r="U231" i="4"/>
  <c r="T231" i="4"/>
  <c r="S231" i="4"/>
  <c r="R231" i="4"/>
  <c r="Q231" i="4"/>
  <c r="P231" i="4"/>
  <c r="O231" i="4"/>
  <c r="N231" i="4"/>
  <c r="M231" i="4"/>
  <c r="L231" i="4"/>
  <c r="K231" i="4"/>
  <c r="J231" i="4"/>
  <c r="I231" i="4"/>
  <c r="H231" i="4"/>
  <c r="G231" i="4"/>
  <c r="F231" i="4"/>
  <c r="E231" i="4"/>
  <c r="D231" i="4"/>
  <c r="D228" i="4" s="1"/>
  <c r="F228" i="4" s="1"/>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c r="L196" i="4" s="1"/>
  <c r="R334" i="4"/>
  <c r="R335" i="4"/>
  <c r="R336" i="4"/>
  <c r="R337" i="4"/>
  <c r="R338" i="4"/>
  <c r="R339" i="4"/>
  <c r="S195" i="4"/>
  <c r="T195" i="4" s="1"/>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E136" i="4"/>
  <c r="F136" i="4"/>
  <c r="G136" i="4"/>
  <c r="H136" i="4"/>
  <c r="I136" i="4"/>
  <c r="J136" i="4"/>
  <c r="K136" i="4"/>
  <c r="L136" i="4"/>
  <c r="M136" i="4"/>
  <c r="N136" i="4"/>
  <c r="O136" i="4"/>
  <c r="P136" i="4"/>
  <c r="Q136" i="4"/>
  <c r="R136" i="4"/>
  <c r="S136" i="4"/>
  <c r="T136" i="4"/>
  <c r="U136" i="4"/>
  <c r="V136" i="4"/>
  <c r="W136" i="4"/>
  <c r="X136" i="4"/>
  <c r="J133" i="4"/>
  <c r="N4" i="3"/>
  <c r="M4" i="3" s="1"/>
  <c r="H4" i="3" s="1"/>
  <c r="J4" i="3"/>
  <c r="L4" i="3" s="1"/>
  <c r="K4" i="3"/>
  <c r="V4" i="3" s="1"/>
  <c r="I4" i="3"/>
  <c r="B113" i="4"/>
  <c r="C35" i="6"/>
  <c r="M18" i="6"/>
  <c r="C184"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7" i="1"/>
  <c r="D29"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D31" i="4" s="1"/>
  <c r="F31" i="4" s="1"/>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D36" i="4" s="1"/>
  <c r="F36" i="4" s="1"/>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D51" i="4" s="1"/>
  <c r="F51" i="4" s="1"/>
  <c r="C54" i="4"/>
  <c r="D54" i="4"/>
  <c r="E54" i="4"/>
  <c r="F54" i="4"/>
  <c r="G54" i="4"/>
  <c r="H54" i="4"/>
  <c r="I54" i="4"/>
  <c r="J54" i="4"/>
  <c r="K54" i="4"/>
  <c r="L54" i="4"/>
  <c r="M54" i="4"/>
  <c r="N54" i="4"/>
  <c r="O54" i="4"/>
  <c r="P54" i="4"/>
  <c r="Q54" i="4"/>
  <c r="R54" i="4"/>
  <c r="S54" i="4"/>
  <c r="T54" i="4"/>
  <c r="U54" i="4"/>
  <c r="V54" i="4"/>
  <c r="W54" i="4"/>
  <c r="X54" i="4"/>
  <c r="J51" i="4"/>
  <c r="B59" i="4"/>
  <c r="C59" i="4"/>
  <c r="D59" i="4"/>
  <c r="E59" i="4"/>
  <c r="F59" i="4"/>
  <c r="G59" i="4"/>
  <c r="H59" i="4"/>
  <c r="I59" i="4"/>
  <c r="J59" i="4"/>
  <c r="K59" i="4"/>
  <c r="L59" i="4"/>
  <c r="M59" i="4"/>
  <c r="N59" i="4"/>
  <c r="O59" i="4"/>
  <c r="P59" i="4"/>
  <c r="D56" i="4" s="1"/>
  <c r="F56" i="4" s="1"/>
  <c r="Q59" i="4"/>
  <c r="R59" i="4"/>
  <c r="S59" i="4"/>
  <c r="T59" i="4"/>
  <c r="U59" i="4"/>
  <c r="V59" i="4"/>
  <c r="W59" i="4"/>
  <c r="X59" i="4"/>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D72" i="4" s="1"/>
  <c r="F72" i="4" s="1"/>
  <c r="I75" i="4"/>
  <c r="J75" i="4"/>
  <c r="K75" i="4"/>
  <c r="L75" i="4"/>
  <c r="M75" i="4"/>
  <c r="N75" i="4"/>
  <c r="O75" i="4"/>
  <c r="P75" i="4"/>
  <c r="Q75" i="4"/>
  <c r="R75" i="4"/>
  <c r="S75" i="4"/>
  <c r="T75" i="4"/>
  <c r="U75" i="4"/>
  <c r="V75" i="4"/>
  <c r="W75" i="4"/>
  <c r="X75" i="4"/>
  <c r="J72" i="4"/>
  <c r="B80" i="4"/>
  <c r="C80" i="4"/>
  <c r="D80" i="4"/>
  <c r="E80" i="4"/>
  <c r="F80" i="4"/>
  <c r="D77" i="4" s="1"/>
  <c r="F77" i="4" s="1"/>
  <c r="G80" i="4"/>
  <c r="H80" i="4"/>
  <c r="I80" i="4"/>
  <c r="J80" i="4"/>
  <c r="K80" i="4"/>
  <c r="L80" i="4"/>
  <c r="M80" i="4"/>
  <c r="N80" i="4"/>
  <c r="O80" i="4"/>
  <c r="P80" i="4"/>
  <c r="Q80" i="4"/>
  <c r="R80" i="4"/>
  <c r="S80" i="4"/>
  <c r="T80" i="4"/>
  <c r="U80" i="4"/>
  <c r="V80" i="4"/>
  <c r="W80" i="4"/>
  <c r="X80" i="4"/>
  <c r="J77" i="4"/>
  <c r="C84" i="4"/>
  <c r="B84" i="4"/>
  <c r="D84" i="4"/>
  <c r="E84" i="4"/>
  <c r="D85" i="4" s="1"/>
  <c r="F84" i="4"/>
  <c r="G84" i="4"/>
  <c r="F85" i="4" s="1"/>
  <c r="H84" i="4"/>
  <c r="G85" i="4" s="1"/>
  <c r="I84" i="4"/>
  <c r="H85" i="4" s="1"/>
  <c r="J84" i="4"/>
  <c r="K84" i="4"/>
  <c r="K85" i="4" s="1"/>
  <c r="L84" i="4"/>
  <c r="M84" i="4"/>
  <c r="N84" i="4"/>
  <c r="O84" i="4"/>
  <c r="N85" i="4" s="1"/>
  <c r="P84" i="4"/>
  <c r="Q84" i="4"/>
  <c r="R84" i="4"/>
  <c r="S84" i="4"/>
  <c r="S85" i="4" s="1"/>
  <c r="T84" i="4"/>
  <c r="U84" i="4"/>
  <c r="V84" i="4"/>
  <c r="W84" i="4"/>
  <c r="V85" i="4" s="1"/>
  <c r="X84" i="4"/>
  <c r="W85" i="4" s="1"/>
  <c r="H82" i="4"/>
  <c r="L82" i="4"/>
  <c r="C89" i="4"/>
  <c r="C90" i="4" s="1"/>
  <c r="B89" i="4"/>
  <c r="D89" i="4"/>
  <c r="E89" i="4"/>
  <c r="F89" i="4"/>
  <c r="F90" i="4" s="1"/>
  <c r="G89" i="4"/>
  <c r="H89" i="4"/>
  <c r="G90" i="4" s="1"/>
  <c r="I89" i="4"/>
  <c r="J89" i="4"/>
  <c r="J90" i="4" s="1"/>
  <c r="K89" i="4"/>
  <c r="L89" i="4"/>
  <c r="M89" i="4"/>
  <c r="N89" i="4"/>
  <c r="O89" i="4"/>
  <c r="P89" i="4"/>
  <c r="O90" i="4" s="1"/>
  <c r="Q89" i="4"/>
  <c r="R89" i="4"/>
  <c r="Q90" i="4" s="1"/>
  <c r="S89" i="4"/>
  <c r="T89" i="4"/>
  <c r="U89" i="4"/>
  <c r="T90" i="4" s="1"/>
  <c r="V89" i="4"/>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C141" i="4"/>
  <c r="D141" i="4"/>
  <c r="E141" i="4"/>
  <c r="F141" i="4"/>
  <c r="G141" i="4"/>
  <c r="H141" i="4"/>
  <c r="I141" i="4"/>
  <c r="J141" i="4"/>
  <c r="K141" i="4"/>
  <c r="L141" i="4"/>
  <c r="M141" i="4"/>
  <c r="N141" i="4"/>
  <c r="O141" i="4"/>
  <c r="P141" i="4"/>
  <c r="D138" i="4" s="1"/>
  <c r="F138" i="4" s="1"/>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J156" i="4"/>
  <c r="K156" i="4"/>
  <c r="L156" i="4"/>
  <c r="M156" i="4"/>
  <c r="N156" i="4"/>
  <c r="O156" i="4"/>
  <c r="P156" i="4"/>
  <c r="D153" i="4" s="1"/>
  <c r="F153" i="4" s="1"/>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D173" i="4" s="1"/>
  <c r="F173" i="4" s="1"/>
  <c r="C176" i="4"/>
  <c r="D176" i="4"/>
  <c r="E176" i="4"/>
  <c r="F176" i="4"/>
  <c r="G176" i="4"/>
  <c r="H176" i="4"/>
  <c r="I176" i="4"/>
  <c r="J176" i="4"/>
  <c r="K176" i="4"/>
  <c r="L176" i="4"/>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C186" i="4"/>
  <c r="D186" i="4"/>
  <c r="E186" i="4"/>
  <c r="F186" i="4"/>
  <c r="G186" i="4"/>
  <c r="H186" i="4"/>
  <c r="D183" i="4" s="1"/>
  <c r="F183" i="4" s="1"/>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D269" i="4" s="1"/>
  <c r="F269" i="4" s="1"/>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4" i="4" s="1"/>
  <c r="F284" i="4" s="1"/>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19" i="6"/>
  <c r="F321" i="4"/>
  <c r="F320" i="4"/>
  <c r="C21" i="5"/>
  <c r="C20" i="5"/>
  <c r="C26" i="5"/>
  <c r="C22" i="5"/>
  <c r="C17" i="5"/>
  <c r="C19" i="5"/>
  <c r="C16" i="5"/>
  <c r="C15" i="5"/>
  <c r="L2" i="6"/>
  <c r="C317" i="4"/>
  <c r="F317" i="4"/>
  <c r="R317" i="4"/>
  <c r="C318" i="4"/>
  <c r="F318" i="4"/>
  <c r="R318" i="4"/>
  <c r="C319" i="4"/>
  <c r="F319" i="4"/>
  <c r="C320" i="4"/>
  <c r="C321" i="4"/>
  <c r="C322" i="4"/>
  <c r="C323" i="4"/>
  <c r="C324" i="4"/>
  <c r="B146" i="2"/>
  <c r="B35" i="1"/>
  <c r="B36" i="6"/>
  <c r="B15" i="8"/>
  <c r="B76" i="2"/>
  <c r="B11" i="8"/>
  <c r="B107" i="1"/>
  <c r="F42" i="5"/>
  <c r="B71" i="8"/>
  <c r="B78" i="8"/>
  <c r="C5" i="8"/>
  <c r="B76" i="8"/>
  <c r="B77" i="8" s="1"/>
  <c r="B74" i="8"/>
  <c r="B73" i="8"/>
  <c r="B79" i="8" s="1"/>
  <c r="B10" i="8"/>
  <c r="C4" i="8"/>
  <c r="C16" i="8"/>
  <c r="C14" i="8"/>
  <c r="C12" i="8"/>
  <c r="B12" i="8"/>
  <c r="C9" i="8"/>
  <c r="C8" i="8"/>
  <c r="B8" i="8"/>
  <c r="C7" i="8"/>
  <c r="N36" i="6"/>
  <c r="C51" i="5"/>
  <c r="C53" i="5"/>
  <c r="T18" i="6"/>
  <c r="S17" i="6"/>
  <c r="S19" i="6"/>
  <c r="S18" i="6"/>
  <c r="S13" i="6"/>
  <c r="S14" i="6"/>
  <c r="S12" i="6"/>
  <c r="T16" i="6"/>
  <c r="T11" i="6"/>
  <c r="L38" i="6"/>
  <c r="B93"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2" i="5"/>
  <c r="A1" i="4"/>
  <c r="A3" i="4"/>
  <c r="A4" i="4"/>
  <c r="B77" i="2"/>
  <c r="B78" i="2"/>
  <c r="B131" i="2"/>
  <c r="B133" i="2"/>
  <c r="B134" i="2"/>
  <c r="B135" i="2"/>
  <c r="B137" i="2"/>
  <c r="B138" i="2"/>
  <c r="B140" i="2"/>
  <c r="B141" i="2"/>
  <c r="B144" i="2"/>
  <c r="C4" i="1"/>
  <c r="C6" i="1"/>
  <c r="C7" i="1"/>
  <c r="C23" i="1" s="1"/>
  <c r="B8" i="1"/>
  <c r="C8" i="1"/>
  <c r="C9" i="1"/>
  <c r="B10" i="1"/>
  <c r="B11" i="1"/>
  <c r="C11" i="1"/>
  <c r="C13" i="1"/>
  <c r="C17" i="1"/>
  <c r="B18" i="1"/>
  <c r="B19" i="1"/>
  <c r="C22" i="1"/>
  <c r="G22" i="1"/>
  <c r="H22" i="1"/>
  <c r="J22" i="1"/>
  <c r="K22" i="1"/>
  <c r="F23" i="1"/>
  <c r="B24" i="1"/>
  <c r="F24" i="1"/>
  <c r="B26" i="1"/>
  <c r="F25" i="1"/>
  <c r="H25" i="1"/>
  <c r="F27" i="1"/>
  <c r="B29" i="1"/>
  <c r="F28" i="1"/>
  <c r="B30" i="1"/>
  <c r="B31" i="1"/>
  <c r="H31" i="1"/>
  <c r="B32" i="1"/>
  <c r="F32" i="1"/>
  <c r="B33" i="1"/>
  <c r="F33" i="1"/>
  <c r="F34" i="1"/>
  <c r="A38" i="1"/>
  <c r="F38" i="1"/>
  <c r="H38" i="1"/>
  <c r="J38" i="1"/>
  <c r="K38" i="1"/>
  <c r="F40" i="1"/>
  <c r="M40" i="1"/>
  <c r="F41" i="1"/>
  <c r="B42" i="1"/>
  <c r="F42" i="1"/>
  <c r="F43" i="1"/>
  <c r="B44" i="1"/>
  <c r="F45" i="1"/>
  <c r="F46" i="1"/>
  <c r="F47" i="1"/>
  <c r="L47" i="1"/>
  <c r="F48" i="1"/>
  <c r="H48" i="1"/>
  <c r="F49" i="1"/>
  <c r="I49" i="1"/>
  <c r="L49" i="1"/>
  <c r="M49" i="1"/>
  <c r="B102" i="1"/>
  <c r="B109" i="1"/>
  <c r="B110" i="1"/>
  <c r="B111" i="1"/>
  <c r="B112" i="1"/>
  <c r="B113" i="1"/>
  <c r="B117" i="1"/>
  <c r="C140" i="1"/>
  <c r="C142" i="1"/>
  <c r="C144" i="1"/>
  <c r="B148" i="1"/>
  <c r="C4" i="6"/>
  <c r="C6" i="6"/>
  <c r="L6" i="6"/>
  <c r="C7" i="6"/>
  <c r="L7" i="6"/>
  <c r="B8" i="6"/>
  <c r="L8" i="6"/>
  <c r="L9" i="6"/>
  <c r="B11" i="6"/>
  <c r="M11" i="6"/>
  <c r="N11" i="6"/>
  <c r="P11" i="6"/>
  <c r="B12" i="6"/>
  <c r="L12" i="6"/>
  <c r="B13" i="6"/>
  <c r="L13" i="6"/>
  <c r="B14" i="6"/>
  <c r="L14" i="6"/>
  <c r="L15" i="6"/>
  <c r="C16" i="6"/>
  <c r="B18" i="6"/>
  <c r="L18" i="6"/>
  <c r="L19" i="6"/>
  <c r="C20" i="6"/>
  <c r="L20" i="6"/>
  <c r="B21" i="6"/>
  <c r="L21" i="6"/>
  <c r="B22" i="6"/>
  <c r="L22" i="6"/>
  <c r="B23" i="6"/>
  <c r="D25" i="6"/>
  <c r="F26" i="6"/>
  <c r="H26" i="6"/>
  <c r="E27" i="6"/>
  <c r="F28" i="6"/>
  <c r="F29" i="6"/>
  <c r="F30" i="6"/>
  <c r="E31" i="6"/>
  <c r="E32" i="6"/>
  <c r="D35" i="6"/>
  <c r="B91" i="6"/>
  <c r="B96" i="6"/>
  <c r="B103" i="6"/>
  <c r="B104" i="6"/>
  <c r="B105" i="6"/>
  <c r="B107" i="6"/>
  <c r="B108" i="6"/>
  <c r="B109" i="6"/>
  <c r="B114" i="6"/>
  <c r="B115" i="6"/>
  <c r="B117" i="6"/>
  <c r="B118" i="6"/>
  <c r="B119" i="6"/>
  <c r="B121" i="6"/>
  <c r="C124" i="6"/>
  <c r="E124" i="6"/>
  <c r="C125" i="6"/>
  <c r="C126" i="6"/>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85" i="4"/>
  <c r="O85" i="4"/>
  <c r="M85" i="4"/>
  <c r="R216" i="4"/>
  <c r="V115" i="4"/>
  <c r="W115" i="4" s="1"/>
  <c r="D133" i="4"/>
  <c r="F133" i="4" s="1"/>
  <c r="J87" i="4"/>
  <c r="S90" i="4"/>
  <c r="K90" i="4"/>
  <c r="I90" i="4"/>
  <c r="T214" i="4"/>
  <c r="U214" i="4" s="1"/>
  <c r="V214" i="4" s="1"/>
  <c r="W214" i="4" s="1"/>
  <c r="E85" i="4"/>
  <c r="T85" i="4"/>
  <c r="R85" i="4"/>
  <c r="P85" i="4"/>
  <c r="L85" i="4"/>
  <c r="J85" i="4"/>
  <c r="B85" i="4"/>
  <c r="V90" i="4"/>
  <c r="R90" i="4"/>
  <c r="N90" i="4"/>
  <c r="L90" i="4"/>
  <c r="U165" i="4"/>
  <c r="T166" i="4" s="1"/>
  <c r="K196" i="4"/>
  <c r="T211" i="4"/>
  <c r="B189" i="6"/>
  <c r="S226" i="4"/>
  <c r="N194" i="4"/>
  <c r="O194" i="4" s="1"/>
  <c r="S251" i="4"/>
  <c r="L246" i="4"/>
  <c r="K246" i="4"/>
  <c r="R251" i="4"/>
  <c r="U116" i="4"/>
  <c r="U211" i="4"/>
  <c r="M246" i="4"/>
  <c r="V250" i="4"/>
  <c r="U251" i="4" s="1"/>
  <c r="T251" i="4"/>
  <c r="V211" i="4"/>
  <c r="N246" i="4"/>
  <c r="X245" i="4"/>
  <c r="X246" i="4" s="1"/>
  <c r="W211" i="4"/>
  <c r="X211" i="4"/>
  <c r="O246" i="4"/>
  <c r="P246" i="4"/>
  <c r="Q246" i="4"/>
  <c r="R246" i="4"/>
  <c r="S246" i="4"/>
  <c r="T246" i="4"/>
  <c r="U246" i="4"/>
  <c r="X244" i="4"/>
  <c r="V246" i="4"/>
  <c r="C197" i="6"/>
  <c r="U125" i="4"/>
  <c r="V125" i="4" s="1"/>
  <c r="R241" i="4"/>
  <c r="T126" i="4"/>
  <c r="C198" i="6"/>
  <c r="C182" i="6"/>
  <c r="P15" i="6"/>
  <c r="H42" i="7" s="1"/>
  <c r="C133" i="6"/>
  <c r="C163" i="6"/>
  <c r="C136" i="6"/>
  <c r="S191" i="4"/>
  <c r="O21" i="6"/>
  <c r="C167" i="6"/>
  <c r="C166" i="6"/>
  <c r="D161" i="6"/>
  <c r="E161" i="6" s="1"/>
  <c r="D158" i="6"/>
  <c r="E158" i="6" s="1"/>
  <c r="D162" i="6"/>
  <c r="E162" i="6" s="1"/>
  <c r="D160" i="6"/>
  <c r="E160" i="6" s="1"/>
  <c r="D159" i="6"/>
  <c r="E159" i="6" s="1"/>
  <c r="D166" i="6"/>
  <c r="E166" i="6" s="1"/>
  <c r="D167" i="6"/>
  <c r="E167" i="6" s="1"/>
  <c r="D163" i="6"/>
  <c r="E163" i="6" s="1"/>
  <c r="D165" i="6"/>
  <c r="E165" i="6" s="1"/>
  <c r="D164" i="6"/>
  <c r="E164" i="6" s="1"/>
  <c r="C165" i="6"/>
  <c r="O22" i="6"/>
  <c r="M22" i="6"/>
  <c r="C164" i="6"/>
  <c r="S206" i="4"/>
  <c r="R206" i="4"/>
  <c r="T206" i="4"/>
  <c r="U206" i="4"/>
  <c r="X205" i="4"/>
  <c r="W206" i="4" s="1"/>
  <c r="V206" i="4"/>
  <c r="X100" i="4"/>
  <c r="L105" i="4"/>
  <c r="G105" i="4"/>
  <c r="K105" i="4"/>
  <c r="O105" i="4"/>
  <c r="S100" i="4"/>
  <c r="U100" i="4"/>
  <c r="Q100" i="4"/>
  <c r="E192" i="6" l="1"/>
  <c r="E188" i="6"/>
  <c r="X115" i="4"/>
  <c r="V116" i="4"/>
  <c r="E127" i="7"/>
  <c r="E8" i="7"/>
  <c r="H69" i="7"/>
  <c r="U120" i="4"/>
  <c r="C148" i="6"/>
  <c r="W90" i="4"/>
  <c r="D178" i="4"/>
  <c r="F178" i="4" s="1"/>
  <c r="D168" i="4"/>
  <c r="F168" i="4" s="1"/>
  <c r="P90" i="4"/>
  <c r="J82" i="4"/>
  <c r="I85" i="4"/>
  <c r="I105" i="4"/>
  <c r="J105" i="4"/>
  <c r="V100" i="4"/>
  <c r="W130" i="4"/>
  <c r="V131" i="4" s="1"/>
  <c r="X85" i="4"/>
  <c r="D279" i="4"/>
  <c r="F279" i="4" s="1"/>
  <c r="D258" i="4"/>
  <c r="F258" i="4" s="1"/>
  <c r="M90" i="4"/>
  <c r="G100" i="4"/>
  <c r="C105" i="4"/>
  <c r="R201" i="4"/>
  <c r="J100" i="4"/>
  <c r="D61" i="4"/>
  <c r="F61" i="4" s="1"/>
  <c r="D41" i="4"/>
  <c r="F41" i="4" s="1"/>
  <c r="V165" i="4"/>
  <c r="U166" i="4" s="1"/>
  <c r="D158" i="4"/>
  <c r="F158" i="4" s="1"/>
  <c r="D143" i="4"/>
  <c r="F143" i="4" s="1"/>
  <c r="H90" i="4"/>
  <c r="Q85" i="4"/>
  <c r="T234" i="4"/>
  <c r="U234" i="4" s="1"/>
  <c r="V234" i="4" s="1"/>
  <c r="W234" i="4" s="1"/>
  <c r="L100" i="4"/>
  <c r="P105" i="4"/>
  <c r="P100" i="4"/>
  <c r="T105" i="4"/>
  <c r="D274" i="4"/>
  <c r="F274" i="4" s="1"/>
  <c r="U90" i="4"/>
  <c r="Q105" i="4"/>
  <c r="M196" i="4"/>
  <c r="M20" i="6"/>
  <c r="S105" i="4"/>
  <c r="D218" i="4"/>
  <c r="F218" i="4" s="1"/>
  <c r="E90" i="4"/>
  <c r="D90" i="4"/>
  <c r="B100" i="4"/>
  <c r="D67" i="4"/>
  <c r="F67" i="4" s="1"/>
  <c r="D46" i="4"/>
  <c r="F46" i="4" s="1"/>
  <c r="D26" i="4"/>
  <c r="F26" i="4" s="1"/>
  <c r="X105" i="4"/>
  <c r="E185" i="6"/>
  <c r="W116" i="4"/>
  <c r="X116" i="4"/>
  <c r="U239" i="4"/>
  <c r="V239" i="4" s="1"/>
  <c r="W239" i="4" s="1"/>
  <c r="X239" i="4" s="1"/>
  <c r="S241" i="4"/>
  <c r="U126" i="4"/>
  <c r="W125" i="4"/>
  <c r="S216" i="4"/>
  <c r="U215" i="4"/>
  <c r="T216" i="4" s="1"/>
  <c r="D309" i="4"/>
  <c r="F309" i="4" s="1"/>
  <c r="D299" i="4"/>
  <c r="F299" i="4" s="1"/>
  <c r="D294" i="4"/>
  <c r="F294" i="4" s="1"/>
  <c r="D208" i="4"/>
  <c r="F208" i="4" s="1"/>
  <c r="B90" i="4"/>
  <c r="U110" i="4"/>
  <c r="J97" i="4"/>
  <c r="F100" i="4"/>
  <c r="N100" i="4"/>
  <c r="T100" i="4"/>
  <c r="V105" i="4"/>
  <c r="C100" i="4"/>
  <c r="W100" i="4"/>
  <c r="H105" i="4"/>
  <c r="U105" i="4"/>
  <c r="D126" i="6"/>
  <c r="W250" i="4"/>
  <c r="X250" i="4" s="1"/>
  <c r="X251" i="4" s="1"/>
  <c r="D289" i="4"/>
  <c r="F289" i="4" s="1"/>
  <c r="X130" i="4"/>
  <c r="W246" i="4"/>
  <c r="D243" i="4" s="1"/>
  <c r="F243" i="4" s="1"/>
  <c r="C85" i="4"/>
  <c r="B199" i="6"/>
  <c r="D100" i="4"/>
  <c r="J102" i="4"/>
  <c r="F105" i="4"/>
  <c r="M105" i="4"/>
  <c r="E186" i="6"/>
  <c r="E187" i="6"/>
  <c r="J24" i="7"/>
  <c r="D304" i="4"/>
  <c r="F304" i="4" s="1"/>
  <c r="U200" i="4"/>
  <c r="S201" i="4"/>
  <c r="N196" i="4"/>
  <c r="P194" i="4"/>
  <c r="T191" i="4"/>
  <c r="V190" i="4"/>
  <c r="T226" i="4"/>
  <c r="V225" i="4"/>
  <c r="X255" i="4"/>
  <c r="V256" i="4"/>
  <c r="X240" i="4"/>
  <c r="V241" i="4"/>
  <c r="W251" i="4"/>
  <c r="U235" i="4"/>
  <c r="S236" i="4"/>
  <c r="D113" i="4"/>
  <c r="F113" i="4" s="1"/>
  <c r="K100" i="4"/>
  <c r="M100" i="4"/>
  <c r="O100" i="4"/>
  <c r="D105" i="4"/>
  <c r="W105" i="4"/>
  <c r="I100" i="4"/>
  <c r="X206" i="4"/>
  <c r="D203" i="4" s="1"/>
  <c r="F203" i="4" s="1"/>
  <c r="V215" i="4"/>
  <c r="B2" i="4"/>
  <c r="M24" i="6"/>
  <c r="K24" i="7"/>
  <c r="F94" i="7"/>
  <c r="M23" i="6"/>
  <c r="B57" i="8"/>
  <c r="C57" i="8" s="1"/>
  <c r="C14" i="1"/>
  <c r="H51" i="7" s="1"/>
  <c r="B59" i="8"/>
  <c r="C59" i="8" s="1"/>
  <c r="D178" i="6"/>
  <c r="E178" i="6" s="1"/>
  <c r="C34" i="6"/>
  <c r="E56" i="7" s="1"/>
  <c r="B61" i="8"/>
  <c r="C61" i="8" s="1"/>
  <c r="E40" i="7"/>
  <c r="O23" i="6"/>
  <c r="O24" i="6"/>
  <c r="B53" i="8"/>
  <c r="C53" i="8" s="1"/>
  <c r="B63" i="8"/>
  <c r="C63" i="8" s="1"/>
  <c r="B67" i="8"/>
  <c r="C67" i="8" s="1"/>
  <c r="B62" i="8"/>
  <c r="C62" i="8" s="1"/>
  <c r="B65" i="8"/>
  <c r="C65" i="8" s="1"/>
  <c r="H27" i="6"/>
  <c r="H45" i="7" s="1"/>
  <c r="C15" i="8"/>
  <c r="B66" i="8"/>
  <c r="C66" i="8" s="1"/>
  <c r="B54" i="8"/>
  <c r="C54" i="8" s="1"/>
  <c r="B56" i="8"/>
  <c r="C56" i="8" s="1"/>
  <c r="B60" i="8"/>
  <c r="C60" i="8" s="1"/>
  <c r="O18" i="6"/>
  <c r="D34" i="6"/>
  <c r="B52" i="8"/>
  <c r="C52" i="8" s="1"/>
  <c r="D26" i="7"/>
  <c r="B51" i="8"/>
  <c r="C51" i="8" s="1"/>
  <c r="B58" i="8"/>
  <c r="C58" i="8" s="1"/>
  <c r="B64" i="8"/>
  <c r="C64" i="8" s="1"/>
  <c r="B50" i="8"/>
  <c r="C50" i="8" s="1"/>
  <c r="B55" i="8"/>
  <c r="C55" i="8" s="1"/>
  <c r="T14" i="6"/>
  <c r="C173" i="6"/>
  <c r="C172" i="6"/>
  <c r="D23" i="7"/>
  <c r="E108" i="7"/>
  <c r="C195" i="6"/>
  <c r="A317" i="4" a="1"/>
  <c r="A341" i="4" s="1"/>
  <c r="D148" i="4"/>
  <c r="F148" i="4" s="1"/>
  <c r="H27" i="1"/>
  <c r="H67" i="7"/>
  <c r="H17" i="7"/>
  <c r="B106" i="1"/>
  <c r="E24" i="1"/>
  <c r="B108" i="1"/>
  <c r="H46" i="1"/>
  <c r="B157" i="1"/>
  <c r="B131" i="1"/>
  <c r="G4" i="3"/>
  <c r="C139" i="6"/>
  <c r="C134" i="6"/>
  <c r="C143" i="6"/>
  <c r="C146" i="6"/>
  <c r="AD4" i="3"/>
  <c r="E190" i="6"/>
  <c r="D30" i="1"/>
  <c r="I68" i="7" s="1"/>
  <c r="AE4" i="3"/>
  <c r="B197" i="6"/>
  <c r="T19" i="6"/>
  <c r="C142" i="6"/>
  <c r="C141" i="6"/>
  <c r="C145" i="6"/>
  <c r="I71" i="7"/>
  <c r="B75" i="8"/>
  <c r="C196" i="6"/>
  <c r="B196" i="6" s="1"/>
  <c r="C147" i="6"/>
  <c r="E42" i="7"/>
  <c r="E193" i="6"/>
  <c r="E189" i="6"/>
  <c r="C183" i="6"/>
  <c r="J90" i="7"/>
  <c r="F118" i="7" s="1"/>
  <c r="C132" i="6"/>
  <c r="F27" i="7"/>
  <c r="C137" i="6"/>
  <c r="C135" i="6"/>
  <c r="C138" i="6"/>
  <c r="E33" i="6"/>
  <c r="C144" i="6"/>
  <c r="T17" i="6"/>
  <c r="E14" i="7"/>
  <c r="B201" i="6"/>
  <c r="C201" i="6" s="1"/>
  <c r="B186" i="6"/>
  <c r="B200" i="6"/>
  <c r="C200" i="6" s="1"/>
  <c r="E183" i="6"/>
  <c r="B187" i="6"/>
  <c r="E184" i="6"/>
  <c r="B202" i="6"/>
  <c r="W3" i="4"/>
  <c r="T241" i="4" l="1"/>
  <c r="U241" i="4"/>
  <c r="D82" i="4"/>
  <c r="F82" i="4" s="1"/>
  <c r="T121" i="4"/>
  <c r="V120" i="4"/>
  <c r="D97" i="4"/>
  <c r="F97" i="4" s="1"/>
  <c r="W165" i="4"/>
  <c r="X165" i="4" s="1"/>
  <c r="D87" i="4"/>
  <c r="F87" i="4" s="1"/>
  <c r="V166" i="4"/>
  <c r="V126" i="4"/>
  <c r="X125" i="4"/>
  <c r="V251" i="4"/>
  <c r="D248" i="4" s="1"/>
  <c r="F248" i="4" s="1"/>
  <c r="X131" i="4"/>
  <c r="W131" i="4"/>
  <c r="V110" i="4"/>
  <c r="T111" i="4"/>
  <c r="D102" i="4"/>
  <c r="F102" i="4" s="1"/>
  <c r="E126" i="6"/>
  <c r="D127" i="6"/>
  <c r="W225" i="4"/>
  <c r="U226" i="4"/>
  <c r="Q194" i="4"/>
  <c r="O196" i="4"/>
  <c r="X256" i="4"/>
  <c r="W256" i="4"/>
  <c r="D253" i="4" s="1"/>
  <c r="T201" i="4"/>
  <c r="V200" i="4"/>
  <c r="W215" i="4"/>
  <c r="U216" i="4"/>
  <c r="T236" i="4"/>
  <c r="V235" i="4"/>
  <c r="X241" i="4"/>
  <c r="W241" i="4"/>
  <c r="U191" i="4"/>
  <c r="W190" i="4"/>
  <c r="D157" i="6"/>
  <c r="D137" i="6"/>
  <c r="W4" i="3"/>
  <c r="D139" i="6"/>
  <c r="D133" i="6"/>
  <c r="E133" i="6" s="1"/>
  <c r="D156" i="6"/>
  <c r="D135" i="6"/>
  <c r="E135" i="6" s="1"/>
  <c r="E52" i="7"/>
  <c r="D140" i="6"/>
  <c r="E30" i="6"/>
  <c r="E28" i="6" s="1"/>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49" i="1"/>
  <c r="R27"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O4" i="4"/>
  <c r="G4" i="4"/>
  <c r="N4" i="4"/>
  <c r="J2" i="4"/>
  <c r="F4" i="4"/>
  <c r="P3" i="4"/>
  <c r="C3" i="4"/>
  <c r="D3" i="4"/>
  <c r="X4" i="4"/>
  <c r="M4" i="4"/>
  <c r="H2" i="4"/>
  <c r="C4" i="4"/>
  <c r="L4" i="4"/>
  <c r="Q3" i="4"/>
  <c r="K4" i="4"/>
  <c r="H4" i="4"/>
  <c r="E3" i="4"/>
  <c r="T2" i="4"/>
  <c r="V3" i="4"/>
  <c r="Z2" i="4"/>
  <c r="N3" i="4"/>
  <c r="T3" i="4"/>
  <c r="P4" i="4"/>
  <c r="L2" i="4"/>
  <c r="E4" i="4"/>
  <c r="V4" i="4"/>
  <c r="Q4" i="4"/>
  <c r="N2" i="4"/>
  <c r="V2" i="4"/>
  <c r="F2" i="4"/>
  <c r="R2" i="4"/>
  <c r="D4" i="4"/>
  <c r="I3" i="4"/>
  <c r="Y3" i="4"/>
  <c r="T4" i="4"/>
  <c r="R4" i="4"/>
  <c r="D2" i="4"/>
  <c r="S4" i="4"/>
  <c r="B3" i="4"/>
  <c r="S3" i="4"/>
  <c r="F3" i="4"/>
  <c r="R3" i="4"/>
  <c r="U4" i="4"/>
  <c r="I4" i="4"/>
  <c r="J3" i="4"/>
  <c r="M3" i="4"/>
  <c r="Y4" i="4"/>
  <c r="W4" i="4"/>
  <c r="P2" i="4"/>
  <c r="U3" i="4"/>
  <c r="X2" i="4"/>
  <c r="B4" i="4"/>
  <c r="L3" i="4"/>
  <c r="X3" i="4"/>
  <c r="J4" i="4"/>
  <c r="H3" i="4"/>
  <c r="G3" i="4"/>
  <c r="O3" i="4"/>
  <c r="K3" i="4"/>
  <c r="P14" i="6" l="1"/>
  <c r="D53" i="8" s="1"/>
  <c r="F53" i="8" s="1"/>
  <c r="I53" i="8" s="1"/>
  <c r="C208" i="6"/>
  <c r="C210" i="6"/>
  <c r="C209" i="6"/>
  <c r="C206" i="6"/>
  <c r="C207" i="6"/>
  <c r="C205" i="6"/>
  <c r="A5" i="3"/>
  <c r="B5" i="3" s="1"/>
  <c r="Z5" i="3" s="1"/>
  <c r="N12" i="6"/>
  <c r="N14" i="6"/>
  <c r="I41" i="7" s="1"/>
  <c r="N13" i="6"/>
  <c r="D238" i="4"/>
  <c r="W120" i="4"/>
  <c r="U121" i="4"/>
  <c r="D128" i="4"/>
  <c r="F106" i="1"/>
  <c r="F105" i="1"/>
  <c r="F104" i="1"/>
  <c r="H18" i="7"/>
  <c r="F107" i="1"/>
  <c r="F103" i="1"/>
  <c r="E101" i="7"/>
  <c r="C171" i="6"/>
  <c r="C170" i="6"/>
  <c r="E49" i="7"/>
  <c r="E18" i="7"/>
  <c r="T13" i="6"/>
  <c r="T12" i="6"/>
  <c r="C174" i="6"/>
  <c r="M13" i="6"/>
  <c r="D171" i="6"/>
  <c r="B48" i="8"/>
  <c r="C48" i="8" s="1"/>
  <c r="D174" i="6"/>
  <c r="B43" i="8"/>
  <c r="C43" i="8" s="1"/>
  <c r="B49" i="8"/>
  <c r="C49" i="8" s="1"/>
  <c r="B41" i="8"/>
  <c r="C41" i="8" s="1"/>
  <c r="B42" i="8"/>
  <c r="C42" i="8" s="1"/>
  <c r="B44" i="8"/>
  <c r="C44" i="8" s="1"/>
  <c r="D172" i="6"/>
  <c r="D170" i="6"/>
  <c r="D173" i="6"/>
  <c r="B46" i="8"/>
  <c r="C46" i="8" s="1"/>
  <c r="B47" i="8"/>
  <c r="C47" i="8" s="1"/>
  <c r="B45" i="8"/>
  <c r="C45" i="8" s="1"/>
  <c r="D57" i="8"/>
  <c r="E57" i="8" s="1"/>
  <c r="G57" i="8" s="1"/>
  <c r="D66" i="8"/>
  <c r="F66" i="8" s="1"/>
  <c r="I66" i="8" s="1"/>
  <c r="D59" i="8"/>
  <c r="F59" i="8" s="1"/>
  <c r="I59" i="8" s="1"/>
  <c r="D47" i="8"/>
  <c r="E47" i="8" s="1"/>
  <c r="G47" i="8" s="1"/>
  <c r="D51" i="8"/>
  <c r="E51" i="8" s="1"/>
  <c r="G51" i="8" s="1"/>
  <c r="M14" i="6"/>
  <c r="C10" i="1" s="1"/>
  <c r="S4" i="3" s="1"/>
  <c r="T4" i="3" s="1"/>
  <c r="U4" i="3" s="1"/>
  <c r="M12" i="6"/>
  <c r="D52" i="8"/>
  <c r="E52" i="8" s="1"/>
  <c r="H52" i="8" s="1"/>
  <c r="D63" i="8"/>
  <c r="E63" i="8" s="1"/>
  <c r="G63" i="8" s="1"/>
  <c r="D64" i="8"/>
  <c r="E64" i="8" s="1"/>
  <c r="H64" i="8" s="1"/>
  <c r="D62" i="8"/>
  <c r="E62" i="8" s="1"/>
  <c r="G62" i="8" s="1"/>
  <c r="D42" i="8"/>
  <c r="E42" i="8" s="1"/>
  <c r="G42" i="8" s="1"/>
  <c r="D65" i="8"/>
  <c r="E65" i="8" s="1"/>
  <c r="G65" i="8" s="1"/>
  <c r="D56" i="8"/>
  <c r="F56" i="8" s="1"/>
  <c r="I56" i="8" s="1"/>
  <c r="D67" i="8"/>
  <c r="F67" i="8" s="1"/>
  <c r="I67" i="8" s="1"/>
  <c r="D55" i="8"/>
  <c r="E55" i="8" s="1"/>
  <c r="G55" i="8" s="1"/>
  <c r="D44" i="8"/>
  <c r="F44" i="8" s="1"/>
  <c r="D60" i="8"/>
  <c r="F60" i="8" s="1"/>
  <c r="I60" i="8" s="1"/>
  <c r="D41" i="8"/>
  <c r="E41" i="8" s="1"/>
  <c r="G41" i="8" s="1"/>
  <c r="D48" i="8"/>
  <c r="F48" i="8" s="1"/>
  <c r="D46" i="8"/>
  <c r="F46" i="8" s="1"/>
  <c r="D45" i="8"/>
  <c r="E45" i="8" s="1"/>
  <c r="G45" i="8" s="1"/>
  <c r="D43" i="8"/>
  <c r="E43" i="8" s="1"/>
  <c r="G43" i="8" s="1"/>
  <c r="D50" i="8"/>
  <c r="F50" i="8" s="1"/>
  <c r="I50" i="8" s="1"/>
  <c r="D61" i="8"/>
  <c r="E61" i="8" s="1"/>
  <c r="H61" i="8" s="1"/>
  <c r="D54" i="8"/>
  <c r="F54" i="8" s="1"/>
  <c r="I54" i="8" s="1"/>
  <c r="D58" i="8"/>
  <c r="E58" i="8" s="1"/>
  <c r="G58" i="8" s="1"/>
  <c r="D49" i="8"/>
  <c r="E49" i="8" s="1"/>
  <c r="G49" i="8" s="1"/>
  <c r="W166" i="4"/>
  <c r="D163" i="4" s="1"/>
  <c r="F163" i="4" s="1"/>
  <c r="X166" i="4"/>
  <c r="E127" i="6"/>
  <c r="D128" i="6"/>
  <c r="W110" i="4"/>
  <c r="U111" i="4"/>
  <c r="X126" i="4"/>
  <c r="W126" i="4"/>
  <c r="D123" i="4" s="1"/>
  <c r="R194" i="4"/>
  <c r="P196" i="4"/>
  <c r="W235" i="4"/>
  <c r="U236" i="4"/>
  <c r="W200" i="4"/>
  <c r="U201" i="4"/>
  <c r="X215" i="4"/>
  <c r="V216" i="4"/>
  <c r="V226" i="4"/>
  <c r="X225" i="4"/>
  <c r="X190" i="4"/>
  <c r="V191" i="4"/>
  <c r="I31" i="6"/>
  <c r="C154" i="6" s="1"/>
  <c r="O19" i="6"/>
  <c r="M19" i="6" s="1"/>
  <c r="H31" i="6" s="1"/>
  <c r="E29" i="6"/>
  <c r="E35" i="6" s="1"/>
  <c r="C191" i="6"/>
  <c r="D153" i="6"/>
  <c r="C192" i="6"/>
  <c r="E11" i="7" l="1"/>
  <c r="C10" i="8"/>
  <c r="H41" i="7"/>
  <c r="E107" i="7"/>
  <c r="H5" i="7"/>
  <c r="M15" i="6"/>
  <c r="J42" i="7" s="1"/>
  <c r="F52" i="8"/>
  <c r="I52" i="8" s="1"/>
  <c r="E50" i="8"/>
  <c r="H50" i="8" s="1"/>
  <c r="H63" i="8"/>
  <c r="K63" i="8" s="1"/>
  <c r="H43" i="8"/>
  <c r="J43" i="8" s="1"/>
  <c r="G52" i="8"/>
  <c r="K52" i="8" s="1"/>
  <c r="J41" i="7"/>
  <c r="E53" i="8"/>
  <c r="H53" i="8" s="1"/>
  <c r="AA5" i="3"/>
  <c r="F107" i="7"/>
  <c r="E58" i="7"/>
  <c r="H65" i="7" s="1"/>
  <c r="C11" i="8"/>
  <c r="F63" i="8"/>
  <c r="I63" i="8" s="1"/>
  <c r="P5" i="3"/>
  <c r="Q5" i="3" s="1"/>
  <c r="R5" i="3" s="1"/>
  <c r="S5" i="3" s="1"/>
  <c r="T5" i="3" s="1"/>
  <c r="H57" i="8"/>
  <c r="J57" i="8" s="1"/>
  <c r="H47" i="8"/>
  <c r="K47" i="8" s="1"/>
  <c r="H55" i="8"/>
  <c r="J55" i="8" s="1"/>
  <c r="E66" i="8"/>
  <c r="H66" i="8" s="1"/>
  <c r="E46" i="8"/>
  <c r="G46" i="8" s="1"/>
  <c r="C204" i="6"/>
  <c r="F51" i="8"/>
  <c r="I51" i="8" s="1"/>
  <c r="F55" i="8"/>
  <c r="I55" i="8" s="1"/>
  <c r="I48" i="8"/>
  <c r="I44" i="8"/>
  <c r="H51" i="8"/>
  <c r="K51" i="8" s="1"/>
  <c r="F42" i="8"/>
  <c r="I42" i="8" s="1"/>
  <c r="H42" i="8"/>
  <c r="J42" i="8" s="1"/>
  <c r="E48" i="8"/>
  <c r="G48" i="8" s="1"/>
  <c r="F57" i="8"/>
  <c r="I57" i="8" s="1"/>
  <c r="G64" i="8"/>
  <c r="J64" i="8" s="1"/>
  <c r="E67" i="8"/>
  <c r="H67" i="8" s="1"/>
  <c r="C24" i="1"/>
  <c r="C30" i="1" s="1"/>
  <c r="H16" i="7" s="1"/>
  <c r="A6" i="3"/>
  <c r="B6" i="3" s="1"/>
  <c r="AC6" i="3" s="1"/>
  <c r="H58" i="8"/>
  <c r="K58" i="8" s="1"/>
  <c r="F64" i="8"/>
  <c r="I64" i="8" s="1"/>
  <c r="F62" i="8"/>
  <c r="I62" i="8" s="1"/>
  <c r="N15" i="6"/>
  <c r="B192" i="6" s="1"/>
  <c r="X120" i="4"/>
  <c r="V121" i="4"/>
  <c r="H65" i="8"/>
  <c r="J65" i="8" s="1"/>
  <c r="F65" i="8"/>
  <c r="I65" i="8" s="1"/>
  <c r="G61" i="8"/>
  <c r="J61" i="8" s="1"/>
  <c r="AD5" i="3"/>
  <c r="E110" i="7"/>
  <c r="F49" i="8"/>
  <c r="I49" i="8" s="1"/>
  <c r="F47" i="8"/>
  <c r="I47" i="8" s="1"/>
  <c r="H41" i="8"/>
  <c r="J41" i="8" s="1"/>
  <c r="F61" i="8"/>
  <c r="I61" i="8" s="1"/>
  <c r="H62" i="8"/>
  <c r="K62" i="8" s="1"/>
  <c r="E44" i="8"/>
  <c r="G44" i="8" s="1"/>
  <c r="I46" i="8"/>
  <c r="AC5" i="3"/>
  <c r="H45" i="8"/>
  <c r="J45" i="8" s="1"/>
  <c r="H49" i="8"/>
  <c r="J49" i="8" s="1"/>
  <c r="F58" i="8"/>
  <c r="I58" i="8" s="1"/>
  <c r="F43" i="8"/>
  <c r="I43" i="8" s="1"/>
  <c r="F41" i="8"/>
  <c r="I41" i="8" s="1"/>
  <c r="E60" i="8"/>
  <c r="H60" i="8" s="1"/>
  <c r="E59" i="8"/>
  <c r="G59" i="8" s="1"/>
  <c r="F45" i="8"/>
  <c r="I45" i="8" s="1"/>
  <c r="E54" i="8"/>
  <c r="H54" i="8" s="1"/>
  <c r="E56" i="8"/>
  <c r="G56" i="8" s="1"/>
  <c r="V111" i="4"/>
  <c r="X110" i="4"/>
  <c r="E128" i="6"/>
  <c r="D129" i="6"/>
  <c r="X200" i="4"/>
  <c r="V201" i="4"/>
  <c r="S194" i="4"/>
  <c r="Q196" i="4"/>
  <c r="W226" i="4"/>
  <c r="X226" i="4"/>
  <c r="X191" i="4"/>
  <c r="W191" i="4"/>
  <c r="W216" i="4"/>
  <c r="D213" i="4" s="1"/>
  <c r="F213" i="4" s="1"/>
  <c r="X216" i="4"/>
  <c r="V236" i="4"/>
  <c r="X235" i="4"/>
  <c r="H28" i="6"/>
  <c r="C190" i="6" s="1"/>
  <c r="C153" i="6"/>
  <c r="C157" i="6"/>
  <c r="C151" i="6"/>
  <c r="C152" i="6"/>
  <c r="K43" i="8" l="1"/>
  <c r="M43" i="8" s="1"/>
  <c r="H29" i="6"/>
  <c r="H47" i="7" s="1"/>
  <c r="F108" i="7"/>
  <c r="H32" i="6"/>
  <c r="J63" i="8"/>
  <c r="L63" i="8" s="1"/>
  <c r="G50" i="8"/>
  <c r="J50" i="8" s="1"/>
  <c r="C149" i="6"/>
  <c r="B191" i="6"/>
  <c r="M52" i="8"/>
  <c r="J52" i="8"/>
  <c r="L52" i="8" s="1"/>
  <c r="H46" i="8"/>
  <c r="J46" i="8" s="1"/>
  <c r="J47" i="8"/>
  <c r="L47" i="8" s="1"/>
  <c r="K57" i="8"/>
  <c r="M57" i="8" s="1"/>
  <c r="G53" i="8"/>
  <c r="K53" i="8" s="1"/>
  <c r="M53" i="8" s="1"/>
  <c r="P28" i="1"/>
  <c r="H68" i="7"/>
  <c r="P27" i="1"/>
  <c r="M63" i="8"/>
  <c r="AA6" i="3"/>
  <c r="J62" i="8"/>
  <c r="L62" i="8" s="1"/>
  <c r="Z6" i="3"/>
  <c r="K55" i="8"/>
  <c r="M55" i="8" s="1"/>
  <c r="J58" i="8"/>
  <c r="L58" i="8" s="1"/>
  <c r="H71" i="7"/>
  <c r="I29" i="6"/>
  <c r="I30" i="6" s="1"/>
  <c r="I48" i="7" s="1"/>
  <c r="C194" i="6"/>
  <c r="H46" i="7"/>
  <c r="D152" i="6"/>
  <c r="H13" i="7"/>
  <c r="P6" i="3"/>
  <c r="Q6" i="3" s="1"/>
  <c r="R6" i="3" s="1"/>
  <c r="S6" i="3" s="1"/>
  <c r="T6" i="3" s="1"/>
  <c r="J51" i="8"/>
  <c r="L51" i="8" s="1"/>
  <c r="K47" i="1"/>
  <c r="G66" i="8"/>
  <c r="J66" i="8" s="1"/>
  <c r="C155" i="6"/>
  <c r="C156" i="6" s="1"/>
  <c r="I32" i="6"/>
  <c r="H48" i="8"/>
  <c r="J48" i="8" s="1"/>
  <c r="K45" i="8"/>
  <c r="M45" i="8" s="1"/>
  <c r="B193" i="6"/>
  <c r="M62" i="8"/>
  <c r="H44" i="8"/>
  <c r="J44" i="8" s="1"/>
  <c r="K65" i="8"/>
  <c r="M65" i="8" s="1"/>
  <c r="M51" i="8"/>
  <c r="K42" i="8"/>
  <c r="M42" i="8" s="1"/>
  <c r="G54" i="8"/>
  <c r="J54" i="8" s="1"/>
  <c r="AD6" i="3"/>
  <c r="K64" i="8"/>
  <c r="M64" i="8" s="1"/>
  <c r="G67" i="8"/>
  <c r="J67" i="8" s="1"/>
  <c r="K61" i="8"/>
  <c r="M61" i="8" s="1"/>
  <c r="K49" i="8"/>
  <c r="M49" i="8" s="1"/>
  <c r="M47" i="8"/>
  <c r="W121" i="4"/>
  <c r="X121" i="4"/>
  <c r="K41" i="8"/>
  <c r="M41" i="8" s="1"/>
  <c r="C150" i="6"/>
  <c r="I42" i="7"/>
  <c r="D118" i="4"/>
  <c r="F118" i="4" s="1"/>
  <c r="H56" i="8"/>
  <c r="J56" i="8" s="1"/>
  <c r="A7" i="3"/>
  <c r="B7" i="3" s="1"/>
  <c r="M58" i="8"/>
  <c r="G60" i="8"/>
  <c r="J60" i="8" s="1"/>
  <c r="H59" i="8"/>
  <c r="J59" i="8" s="1"/>
  <c r="D223" i="4"/>
  <c r="F223" i="4" s="1"/>
  <c r="X111" i="4"/>
  <c r="W111" i="4"/>
  <c r="D108" i="4" s="1"/>
  <c r="D188" i="4"/>
  <c r="F188" i="4" s="1"/>
  <c r="D130" i="6"/>
  <c r="E130" i="6" s="1"/>
  <c r="E129" i="6"/>
  <c r="S28" i="6"/>
  <c r="C193" i="6"/>
  <c r="X236" i="4"/>
  <c r="W236" i="4"/>
  <c r="R196" i="4"/>
  <c r="T194" i="4"/>
  <c r="W201" i="4"/>
  <c r="X201" i="4"/>
  <c r="D198" i="4" s="1"/>
  <c r="F198" i="4" s="1"/>
  <c r="B190" i="6"/>
  <c r="H30" i="6"/>
  <c r="H48" i="7" s="1"/>
  <c r="B194" i="6"/>
  <c r="H14" i="7"/>
  <c r="D5" i="3"/>
  <c r="AG5" i="3"/>
  <c r="AH5" i="3"/>
  <c r="E5" i="3"/>
  <c r="H5" i="3" s="1"/>
  <c r="L43" i="8" l="1"/>
  <c r="K50" i="8"/>
  <c r="M50" i="8" s="1"/>
  <c r="J53" i="8"/>
  <c r="L53" i="8" s="1"/>
  <c r="L57" i="8"/>
  <c r="K46" i="8"/>
  <c r="M46" i="8" s="1"/>
  <c r="I15" i="7"/>
  <c r="L55" i="8"/>
  <c r="I47" i="7"/>
  <c r="S29" i="6"/>
  <c r="I14" i="7"/>
  <c r="K66" i="8"/>
  <c r="M66" i="8" s="1"/>
  <c r="L45" i="8"/>
  <c r="K48" i="8"/>
  <c r="L48" i="8" s="1"/>
  <c r="L65" i="8"/>
  <c r="K44" i="8"/>
  <c r="M44" i="8" s="1"/>
  <c r="L64" i="8"/>
  <c r="K54" i="8"/>
  <c r="M54" i="8" s="1"/>
  <c r="L42" i="8"/>
  <c r="L41" i="8"/>
  <c r="L61" i="8"/>
  <c r="K67" i="8"/>
  <c r="M67" i="8" s="1"/>
  <c r="L49" i="8"/>
  <c r="P7" i="3"/>
  <c r="Q7" i="3" s="1"/>
  <c r="R7" i="3" s="1"/>
  <c r="S7" i="3" s="1"/>
  <c r="T7" i="3" s="1"/>
  <c r="A8" i="3"/>
  <c r="B8" i="3" s="1"/>
  <c r="Z7" i="3"/>
  <c r="AD7" i="3"/>
  <c r="AA7" i="3"/>
  <c r="AC7" i="3"/>
  <c r="K56" i="8"/>
  <c r="M56" i="8" s="1"/>
  <c r="K60" i="8"/>
  <c r="M60" i="8" s="1"/>
  <c r="K59" i="8"/>
  <c r="M59" i="8" s="1"/>
  <c r="F108" i="4"/>
  <c r="D233" i="4"/>
  <c r="F233" i="4" s="1"/>
  <c r="U194" i="4"/>
  <c r="S196" i="4"/>
  <c r="H15" i="7"/>
  <c r="S30" i="6"/>
  <c r="H33" i="6"/>
  <c r="K5" i="3"/>
  <c r="F5" i="3"/>
  <c r="G5" i="3"/>
  <c r="L50" i="8" l="1"/>
  <c r="L46" i="8"/>
  <c r="L66" i="8"/>
  <c r="M48" i="8"/>
  <c r="L44" i="8"/>
  <c r="L54" i="8"/>
  <c r="L67" i="8"/>
  <c r="L56" i="8"/>
  <c r="AA8" i="3"/>
  <c r="Z8" i="3"/>
  <c r="AC8" i="3"/>
  <c r="A9" i="3"/>
  <c r="B9" i="3" s="1"/>
  <c r="AD8" i="3"/>
  <c r="P8" i="3"/>
  <c r="Q8" i="3" s="1"/>
  <c r="R8" i="3" s="1"/>
  <c r="S8" i="3" s="1"/>
  <c r="L60" i="8"/>
  <c r="L59" i="8"/>
  <c r="T196" i="4"/>
  <c r="V194" i="4"/>
  <c r="M5" i="3"/>
  <c r="N5" i="3" s="1"/>
  <c r="I5" i="3"/>
  <c r="J5" i="3"/>
  <c r="V5" i="3"/>
  <c r="AE5" i="3"/>
  <c r="T8" i="3" l="1"/>
  <c r="P9" i="3"/>
  <c r="Q9" i="3" s="1"/>
  <c r="R9" i="3" s="1"/>
  <c r="S9" i="3" s="1"/>
  <c r="A10" i="3"/>
  <c r="B10" i="3" s="1"/>
  <c r="AD9" i="3"/>
  <c r="AC9" i="3"/>
  <c r="Z9" i="3"/>
  <c r="AA9" i="3"/>
  <c r="U196" i="4"/>
  <c r="W194" i="4"/>
  <c r="W5" i="3"/>
  <c r="L5" i="3"/>
  <c r="T9" i="3" l="1"/>
  <c r="P10" i="3"/>
  <c r="Q10" i="3" s="1"/>
  <c r="R10" i="3" s="1"/>
  <c r="S10" i="3" s="1"/>
  <c r="Z10" i="3"/>
  <c r="AA10" i="3"/>
  <c r="AC10" i="3"/>
  <c r="A11" i="3"/>
  <c r="B11" i="3" s="1"/>
  <c r="AD10" i="3"/>
  <c r="V196" i="4"/>
  <c r="W196" i="4"/>
  <c r="U5" i="3"/>
  <c r="D6" i="3" s="1"/>
  <c r="AG6" i="3"/>
  <c r="AH6" i="3"/>
  <c r="T10" i="3" l="1"/>
  <c r="AD11" i="3"/>
  <c r="AA11" i="3"/>
  <c r="Z11" i="3"/>
  <c r="P11" i="3"/>
  <c r="Q11" i="3" s="1"/>
  <c r="R11" i="3" s="1"/>
  <c r="S11" i="3" s="1"/>
  <c r="AC11" i="3"/>
  <c r="A12" i="3"/>
  <c r="B12" i="3" s="1"/>
  <c r="D193" i="4"/>
  <c r="E6" i="3"/>
  <c r="H6" i="3" s="1"/>
  <c r="K6" i="3" s="1"/>
  <c r="G6" i="3"/>
  <c r="T11" i="3" l="1"/>
  <c r="AC12" i="3"/>
  <c r="A13" i="3"/>
  <c r="B13" i="3" s="1"/>
  <c r="AD12" i="3"/>
  <c r="P12" i="3"/>
  <c r="Q12" i="3" s="1"/>
  <c r="R12" i="3" s="1"/>
  <c r="S12" i="3" s="1"/>
  <c r="Z12" i="3"/>
  <c r="AA12" i="3"/>
  <c r="M36" i="6"/>
  <c r="N34" i="1"/>
  <c r="F193" i="4"/>
  <c r="F6" i="3"/>
  <c r="I6" i="3"/>
  <c r="J6" i="3"/>
  <c r="M6" i="3"/>
  <c r="N6" i="3" s="1"/>
  <c r="V6" i="3"/>
  <c r="AE6" i="3"/>
  <c r="T12" i="3" l="1"/>
  <c r="AD13" i="3"/>
  <c r="AA13" i="3"/>
  <c r="Z13" i="3"/>
  <c r="A14" i="3"/>
  <c r="B14" i="3" s="1"/>
  <c r="AC13" i="3"/>
  <c r="P13" i="3"/>
  <c r="Q13" i="3" s="1"/>
  <c r="R13" i="3" s="1"/>
  <c r="S13" i="3" s="1"/>
  <c r="W6" i="3"/>
  <c r="L6" i="3"/>
  <c r="T13" i="3" l="1"/>
  <c r="P14" i="3"/>
  <c r="Q14" i="3" s="1"/>
  <c r="R14" i="3" s="1"/>
  <c r="S14" i="3" s="1"/>
  <c r="AD14" i="3"/>
  <c r="AC14" i="3"/>
  <c r="A15" i="3"/>
  <c r="B15" i="3" s="1"/>
  <c r="AA14" i="3"/>
  <c r="Z14" i="3"/>
  <c r="AH7" i="3"/>
  <c r="AG7" i="3"/>
  <c r="U6" i="3"/>
  <c r="D7" i="3" s="1"/>
  <c r="Y5" i="3"/>
  <c r="T14" i="3" l="1"/>
  <c r="AA15" i="3"/>
  <c r="AD15" i="3"/>
  <c r="P15" i="3"/>
  <c r="Q15" i="3" s="1"/>
  <c r="R15" i="3" s="1"/>
  <c r="S15" i="3" s="1"/>
  <c r="Z15" i="3"/>
  <c r="A16" i="3"/>
  <c r="B16" i="3" s="1"/>
  <c r="AC15" i="3"/>
  <c r="G7" i="3"/>
  <c r="E7" i="3"/>
  <c r="H7" i="3" s="1"/>
  <c r="T15" i="3" l="1"/>
  <c r="P16" i="3"/>
  <c r="Q16" i="3" s="1"/>
  <c r="R16" i="3" s="1"/>
  <c r="S16" i="3" s="1"/>
  <c r="A17" i="3"/>
  <c r="B17" i="3" s="1"/>
  <c r="AA16" i="3"/>
  <c r="Z16" i="3"/>
  <c r="AC16" i="3"/>
  <c r="AD16" i="3"/>
  <c r="F7" i="3"/>
  <c r="I7" i="3"/>
  <c r="J7" i="3"/>
  <c r="M7" i="3"/>
  <c r="N7" i="3" s="1"/>
  <c r="K7" i="3"/>
  <c r="T16" i="3" l="1"/>
  <c r="A18" i="3"/>
  <c r="B18" i="3" s="1"/>
  <c r="AD17" i="3"/>
  <c r="Z17" i="3"/>
  <c r="AA17" i="3"/>
  <c r="AC17" i="3"/>
  <c r="P17" i="3"/>
  <c r="Q17" i="3" s="1"/>
  <c r="R17" i="3" s="1"/>
  <c r="S17" i="3" s="1"/>
  <c r="L7" i="3"/>
  <c r="V7" i="3"/>
  <c r="W7" i="3" s="1"/>
  <c r="AE7" i="3"/>
  <c r="T17" i="3" l="1"/>
  <c r="A19" i="3"/>
  <c r="B19" i="3" s="1"/>
  <c r="Z18" i="3"/>
  <c r="AC18" i="3"/>
  <c r="AD18" i="3"/>
  <c r="P18" i="3"/>
  <c r="Q18" i="3" s="1"/>
  <c r="R18" i="3" s="1"/>
  <c r="S18" i="3" s="1"/>
  <c r="AA18" i="3"/>
  <c r="AH8" i="3"/>
  <c r="U7" i="3"/>
  <c r="D8" i="3" s="1"/>
  <c r="AG8" i="3"/>
  <c r="Y6" i="3"/>
  <c r="T18" i="3" l="1"/>
  <c r="Z19" i="3"/>
  <c r="P19" i="3"/>
  <c r="Q19" i="3" s="1"/>
  <c r="R19" i="3" s="1"/>
  <c r="S19" i="3" s="1"/>
  <c r="AD19" i="3"/>
  <c r="AC19" i="3"/>
  <c r="A20" i="3"/>
  <c r="B20" i="3" s="1"/>
  <c r="AA19" i="3"/>
  <c r="E8" i="3"/>
  <c r="H8" i="3" s="1"/>
  <c r="K8" i="3" s="1"/>
  <c r="G8" i="3"/>
  <c r="T19" i="3" l="1"/>
  <c r="AD20" i="3"/>
  <c r="AC20" i="3"/>
  <c r="AA20" i="3"/>
  <c r="P20" i="3"/>
  <c r="Q20" i="3" s="1"/>
  <c r="R20" i="3" s="1"/>
  <c r="S20" i="3" s="1"/>
  <c r="Z20" i="3"/>
  <c r="A21" i="3"/>
  <c r="B21" i="3" s="1"/>
  <c r="F8" i="3"/>
  <c r="I8" i="3"/>
  <c r="J8" i="3"/>
  <c r="M8" i="3"/>
  <c r="N8" i="3" s="1"/>
  <c r="V8" i="3"/>
  <c r="AE8" i="3"/>
  <c r="T20" i="3" l="1"/>
  <c r="P21" i="3"/>
  <c r="Q21" i="3" s="1"/>
  <c r="R21" i="3" s="1"/>
  <c r="S21" i="3" s="1"/>
  <c r="Z21" i="3"/>
  <c r="A22" i="3"/>
  <c r="B22" i="3" s="1"/>
  <c r="AA21" i="3"/>
  <c r="AD21" i="3"/>
  <c r="AC21" i="3"/>
  <c r="W8" i="3"/>
  <c r="L8" i="3"/>
  <c r="T21" i="3" l="1"/>
  <c r="AC22" i="3"/>
  <c r="P22" i="3"/>
  <c r="Q22" i="3" s="1"/>
  <c r="R22" i="3" s="1"/>
  <c r="S22" i="3" s="1"/>
  <c r="Z22" i="3"/>
  <c r="AD22" i="3"/>
  <c r="AA22" i="3"/>
  <c r="A23" i="3"/>
  <c r="B23" i="3" s="1"/>
  <c r="U8" i="3"/>
  <c r="D9" i="3" s="1"/>
  <c r="AH9" i="3"/>
  <c r="AG9" i="3"/>
  <c r="Y7" i="3"/>
  <c r="T22" i="3" l="1"/>
  <c r="A24" i="3"/>
  <c r="B24" i="3" s="1"/>
  <c r="AA23" i="3"/>
  <c r="AD23" i="3"/>
  <c r="Z23" i="3"/>
  <c r="P23" i="3"/>
  <c r="Q23" i="3" s="1"/>
  <c r="R23" i="3" s="1"/>
  <c r="S23" i="3" s="1"/>
  <c r="AC23" i="3"/>
  <c r="E9" i="3"/>
  <c r="H9" i="3" s="1"/>
  <c r="K9" i="3" s="1"/>
  <c r="G9" i="3"/>
  <c r="T23" i="3" l="1"/>
  <c r="A25" i="3"/>
  <c r="B25" i="3" s="1"/>
  <c r="P24" i="3"/>
  <c r="Q24" i="3" s="1"/>
  <c r="R24" i="3" s="1"/>
  <c r="S24" i="3" s="1"/>
  <c r="Z24" i="3"/>
  <c r="AD24" i="3"/>
  <c r="AA24" i="3"/>
  <c r="AC24" i="3"/>
  <c r="F9" i="3"/>
  <c r="V9" i="3"/>
  <c r="AE9" i="3"/>
  <c r="I9" i="3"/>
  <c r="J9" i="3"/>
  <c r="M9" i="3"/>
  <c r="N9" i="3" s="1"/>
  <c r="T24" i="3" l="1"/>
  <c r="P25" i="3"/>
  <c r="Q25" i="3" s="1"/>
  <c r="R25" i="3" s="1"/>
  <c r="S25" i="3" s="1"/>
  <c r="Z25" i="3"/>
  <c r="A26" i="3"/>
  <c r="B26" i="3" s="1"/>
  <c r="AC25" i="3"/>
  <c r="AA25" i="3"/>
  <c r="AD25" i="3"/>
  <c r="W9" i="3"/>
  <c r="L9" i="3"/>
  <c r="T25" i="3" l="1"/>
  <c r="P26" i="3"/>
  <c r="Q26" i="3" s="1"/>
  <c r="R26" i="3" s="1"/>
  <c r="S26" i="3" s="1"/>
  <c r="Z26" i="3"/>
  <c r="A27" i="3"/>
  <c r="B27" i="3" s="1"/>
  <c r="AA26" i="3"/>
  <c r="AD26" i="3"/>
  <c r="AC26" i="3"/>
  <c r="AH10" i="3"/>
  <c r="U9" i="3"/>
  <c r="E10" i="3" s="1"/>
  <c r="H10" i="3" s="1"/>
  <c r="AG10" i="3"/>
  <c r="Y8" i="3"/>
  <c r="T26" i="3" l="1"/>
  <c r="P27" i="3"/>
  <c r="Q27" i="3" s="1"/>
  <c r="R27" i="3" s="1"/>
  <c r="S27" i="3" s="1"/>
  <c r="AA27" i="3"/>
  <c r="A28" i="3"/>
  <c r="B28" i="3" s="1"/>
  <c r="AD27" i="3"/>
  <c r="Z27" i="3"/>
  <c r="AC27" i="3"/>
  <c r="K10" i="3"/>
  <c r="D10" i="3"/>
  <c r="T27" i="3" l="1"/>
  <c r="P28" i="3"/>
  <c r="Q28" i="3" s="1"/>
  <c r="R28" i="3" s="1"/>
  <c r="S28" i="3" s="1"/>
  <c r="AA28" i="3"/>
  <c r="AD28" i="3"/>
  <c r="Z28" i="3"/>
  <c r="A29" i="3"/>
  <c r="B29" i="3" s="1"/>
  <c r="AC28" i="3"/>
  <c r="F10" i="3"/>
  <c r="G10" i="3"/>
  <c r="V10" i="3"/>
  <c r="AE10" i="3"/>
  <c r="T28" i="3" l="1"/>
  <c r="AA29" i="3"/>
  <c r="A30" i="3"/>
  <c r="B30" i="3" s="1"/>
  <c r="AD29" i="3"/>
  <c r="P29" i="3"/>
  <c r="Q29" i="3" s="1"/>
  <c r="R29" i="3" s="1"/>
  <c r="S29" i="3" s="1"/>
  <c r="Z29" i="3"/>
  <c r="AC29" i="3"/>
  <c r="I10" i="3"/>
  <c r="W10" i="3" s="1"/>
  <c r="J10" i="3"/>
  <c r="M10" i="3"/>
  <c r="N10" i="3" s="1"/>
  <c r="T29" i="3" l="1"/>
  <c r="Z30" i="3"/>
  <c r="AC30" i="3"/>
  <c r="A31" i="3"/>
  <c r="B31" i="3" s="1"/>
  <c r="P30" i="3"/>
  <c r="Q30" i="3" s="1"/>
  <c r="R30" i="3" s="1"/>
  <c r="S30" i="3" s="1"/>
  <c r="AA30" i="3"/>
  <c r="AD30" i="3"/>
  <c r="L10" i="3"/>
  <c r="T30" i="3" l="1"/>
  <c r="AA31" i="3"/>
  <c r="AC31" i="3"/>
  <c r="P31" i="3"/>
  <c r="Q31" i="3" s="1"/>
  <c r="R31" i="3" s="1"/>
  <c r="S31" i="3" s="1"/>
  <c r="A32" i="3"/>
  <c r="B32" i="3" s="1"/>
  <c r="Z31" i="3"/>
  <c r="AD31" i="3"/>
  <c r="AG11" i="3"/>
  <c r="AH11" i="3"/>
  <c r="U10" i="3"/>
  <c r="E11" i="3" s="1"/>
  <c r="H11" i="3" s="1"/>
  <c r="Y9" i="3"/>
  <c r="T31" i="3" l="1"/>
  <c r="P32" i="3"/>
  <c r="Q32" i="3" s="1"/>
  <c r="R32" i="3" s="1"/>
  <c r="S32" i="3" s="1"/>
  <c r="AA32" i="3"/>
  <c r="A33" i="3"/>
  <c r="B33" i="3" s="1"/>
  <c r="AD32" i="3"/>
  <c r="AC32" i="3"/>
  <c r="Z32" i="3"/>
  <c r="K11" i="3"/>
  <c r="D11" i="3"/>
  <c r="T32" i="3" l="1"/>
  <c r="P33" i="3"/>
  <c r="Q33" i="3" s="1"/>
  <c r="R33" i="3" s="1"/>
  <c r="S33" i="3" s="1"/>
  <c r="AC33" i="3"/>
  <c r="AD33" i="3"/>
  <c r="A34" i="3"/>
  <c r="B34" i="3" s="1"/>
  <c r="Z33" i="3"/>
  <c r="AA33" i="3"/>
  <c r="V11" i="3"/>
  <c r="AE11" i="3"/>
  <c r="F11" i="3"/>
  <c r="G11" i="3"/>
  <c r="T33" i="3" l="1"/>
  <c r="AA34" i="3"/>
  <c r="Z34" i="3"/>
  <c r="AD34" i="3"/>
  <c r="P34" i="3"/>
  <c r="Q34" i="3" s="1"/>
  <c r="R34" i="3" s="1"/>
  <c r="S34" i="3" s="1"/>
  <c r="AC34" i="3"/>
  <c r="A35" i="3"/>
  <c r="B35" i="3" s="1"/>
  <c r="I11" i="3"/>
  <c r="W11" i="3" s="1"/>
  <c r="J11" i="3"/>
  <c r="M11" i="3"/>
  <c r="N11" i="3" s="1"/>
  <c r="T34" i="3" l="1"/>
  <c r="AC35" i="3"/>
  <c r="P35" i="3"/>
  <c r="Q35" i="3" s="1"/>
  <c r="R35" i="3" s="1"/>
  <c r="S35" i="3" s="1"/>
  <c r="AD35" i="3"/>
  <c r="A36" i="3"/>
  <c r="B36" i="3" s="1"/>
  <c r="Z35" i="3"/>
  <c r="AA35" i="3"/>
  <c r="L11" i="3"/>
  <c r="T35" i="3" l="1"/>
  <c r="P36" i="3"/>
  <c r="Q36" i="3" s="1"/>
  <c r="R36" i="3" s="1"/>
  <c r="S36" i="3" s="1"/>
  <c r="AA36" i="3"/>
  <c r="Z36" i="3"/>
  <c r="AD36" i="3"/>
  <c r="A37" i="3"/>
  <c r="B37" i="3" s="1"/>
  <c r="AC36" i="3"/>
  <c r="AH12" i="3"/>
  <c r="U11" i="3"/>
  <c r="E12" i="3" s="1"/>
  <c r="H12" i="3" s="1"/>
  <c r="AG12" i="3"/>
  <c r="Y10" i="3"/>
  <c r="T36" i="3" l="1"/>
  <c r="AD37" i="3"/>
  <c r="Z37" i="3"/>
  <c r="AC37" i="3"/>
  <c r="A38" i="3"/>
  <c r="B38" i="3" s="1"/>
  <c r="AA37" i="3"/>
  <c r="P37" i="3"/>
  <c r="Q37" i="3" s="1"/>
  <c r="R37" i="3" s="1"/>
  <c r="S37" i="3" s="1"/>
  <c r="D12" i="3"/>
  <c r="G12" i="3" s="1"/>
  <c r="K12" i="3"/>
  <c r="T37" i="3" l="1"/>
  <c r="P38" i="3"/>
  <c r="Q38" i="3" s="1"/>
  <c r="R38" i="3" s="1"/>
  <c r="S38" i="3" s="1"/>
  <c r="AC38" i="3"/>
  <c r="AD38" i="3"/>
  <c r="AA38" i="3"/>
  <c r="Z38" i="3"/>
  <c r="A39" i="3"/>
  <c r="B39" i="3" s="1"/>
  <c r="F12" i="3"/>
  <c r="V12" i="3"/>
  <c r="AE12" i="3"/>
  <c r="I12" i="3"/>
  <c r="J12" i="3"/>
  <c r="M12" i="3"/>
  <c r="N12" i="3" s="1"/>
  <c r="T38" i="3" l="1"/>
  <c r="A40" i="3"/>
  <c r="B40" i="3" s="1"/>
  <c r="AA39" i="3"/>
  <c r="AC39" i="3"/>
  <c r="P39" i="3"/>
  <c r="Q39" i="3" s="1"/>
  <c r="R39" i="3" s="1"/>
  <c r="S39" i="3" s="1"/>
  <c r="AD39" i="3"/>
  <c r="Z39" i="3"/>
  <c r="W12" i="3"/>
  <c r="L12" i="3"/>
  <c r="T39" i="3" l="1"/>
  <c r="AA40" i="3"/>
  <c r="A41" i="3"/>
  <c r="B41" i="3" s="1"/>
  <c r="AC40" i="3"/>
  <c r="Z40" i="3"/>
  <c r="P40" i="3"/>
  <c r="Q40" i="3" s="1"/>
  <c r="R40" i="3" s="1"/>
  <c r="S40" i="3" s="1"/>
  <c r="AD40" i="3"/>
  <c r="AG13" i="3"/>
  <c r="U12" i="3"/>
  <c r="E13" i="3" s="1"/>
  <c r="H13" i="3" s="1"/>
  <c r="AH13" i="3"/>
  <c r="Y11" i="3"/>
  <c r="T40" i="3" l="1"/>
  <c r="AA41" i="3"/>
  <c r="P41" i="3"/>
  <c r="Q41" i="3" s="1"/>
  <c r="R41" i="3" s="1"/>
  <c r="S41" i="3" s="1"/>
  <c r="AC41" i="3"/>
  <c r="AD41" i="3"/>
  <c r="A42" i="3"/>
  <c r="B42" i="3" s="1"/>
  <c r="Z41" i="3"/>
  <c r="D13" i="3"/>
  <c r="F13" i="3" s="1"/>
  <c r="K13" i="3"/>
  <c r="T41" i="3" l="1"/>
  <c r="AD42" i="3"/>
  <c r="AC42" i="3"/>
  <c r="P42" i="3"/>
  <c r="Q42" i="3" s="1"/>
  <c r="R42" i="3" s="1"/>
  <c r="S42" i="3" s="1"/>
  <c r="AA42" i="3"/>
  <c r="Z42" i="3"/>
  <c r="A43" i="3"/>
  <c r="B43" i="3" s="1"/>
  <c r="G13" i="3"/>
  <c r="I13" i="3" s="1"/>
  <c r="V13" i="3"/>
  <c r="AE13" i="3"/>
  <c r="T42" i="3" l="1"/>
  <c r="P43" i="3"/>
  <c r="Q43" i="3" s="1"/>
  <c r="R43" i="3" s="1"/>
  <c r="S43" i="3" s="1"/>
  <c r="AA43" i="3"/>
  <c r="AC43" i="3"/>
  <c r="AD43" i="3"/>
  <c r="Z43" i="3"/>
  <c r="A44" i="3"/>
  <c r="B44" i="3" s="1"/>
  <c r="J13" i="3"/>
  <c r="L13" i="3" s="1"/>
  <c r="M13" i="3"/>
  <c r="N13" i="3" s="1"/>
  <c r="W13" i="3"/>
  <c r="T43" i="3" l="1"/>
  <c r="AA44" i="3"/>
  <c r="AD44" i="3"/>
  <c r="Z44" i="3"/>
  <c r="A45" i="3"/>
  <c r="B45" i="3" s="1"/>
  <c r="AC44" i="3"/>
  <c r="P44" i="3"/>
  <c r="Q44" i="3" s="1"/>
  <c r="R44" i="3" s="1"/>
  <c r="S44" i="3" s="1"/>
  <c r="AH14" i="3"/>
  <c r="AG14" i="3"/>
  <c r="U13" i="3"/>
  <c r="D14" i="3" s="1"/>
  <c r="Y12" i="3"/>
  <c r="T44" i="3" l="1"/>
  <c r="AA45" i="3"/>
  <c r="A46" i="3"/>
  <c r="B46" i="3" s="1"/>
  <c r="AD45" i="3"/>
  <c r="P45" i="3"/>
  <c r="Q45" i="3" s="1"/>
  <c r="R45" i="3" s="1"/>
  <c r="S45" i="3" s="1"/>
  <c r="Z45" i="3"/>
  <c r="AC45" i="3"/>
  <c r="E14" i="3"/>
  <c r="H14" i="3" s="1"/>
  <c r="K14" i="3" s="1"/>
  <c r="G14" i="3"/>
  <c r="T45" i="3" l="1"/>
  <c r="P46" i="3"/>
  <c r="Q46" i="3" s="1"/>
  <c r="R46" i="3" s="1"/>
  <c r="S46" i="3" s="1"/>
  <c r="AD46" i="3"/>
  <c r="Z46" i="3"/>
  <c r="A47" i="3"/>
  <c r="B47" i="3" s="1"/>
  <c r="AA46" i="3"/>
  <c r="AC46" i="3"/>
  <c r="F14" i="3"/>
  <c r="V14" i="3"/>
  <c r="AE14" i="3"/>
  <c r="I14" i="3"/>
  <c r="J14" i="3"/>
  <c r="M14" i="3"/>
  <c r="N14" i="3" s="1"/>
  <c r="T46" i="3" l="1"/>
  <c r="P47" i="3"/>
  <c r="Q47" i="3" s="1"/>
  <c r="R47" i="3" s="1"/>
  <c r="S47" i="3" s="1"/>
  <c r="AC47" i="3"/>
  <c r="A48" i="3"/>
  <c r="B48" i="3" s="1"/>
  <c r="AD47" i="3"/>
  <c r="AA47" i="3"/>
  <c r="Z47" i="3"/>
  <c r="W14" i="3"/>
  <c r="L14" i="3"/>
  <c r="T47" i="3" l="1"/>
  <c r="A49" i="3"/>
  <c r="B49" i="3" s="1"/>
  <c r="AD48" i="3"/>
  <c r="AC48" i="3"/>
  <c r="Z48" i="3"/>
  <c r="P48" i="3"/>
  <c r="Q48" i="3" s="1"/>
  <c r="R48" i="3" s="1"/>
  <c r="S48" i="3" s="1"/>
  <c r="AA48" i="3"/>
  <c r="U14" i="3"/>
  <c r="E15" i="3" s="1"/>
  <c r="H15" i="3" s="1"/>
  <c r="AG15" i="3"/>
  <c r="AH15" i="3"/>
  <c r="Y13" i="3"/>
  <c r="T48" i="3" l="1"/>
  <c r="AA49" i="3"/>
  <c r="A50" i="3"/>
  <c r="B50" i="3" s="1"/>
  <c r="P49" i="3"/>
  <c r="Q49" i="3" s="1"/>
  <c r="R49" i="3" s="1"/>
  <c r="S49" i="3" s="1"/>
  <c r="Z49" i="3"/>
  <c r="AC49" i="3"/>
  <c r="AD49" i="3"/>
  <c r="D15" i="3"/>
  <c r="F15" i="3" s="1"/>
  <c r="K15" i="3"/>
  <c r="T49" i="3" l="1"/>
  <c r="AD50" i="3"/>
  <c r="AC50" i="3"/>
  <c r="Z50" i="3"/>
  <c r="P50" i="3"/>
  <c r="Q50" i="3" s="1"/>
  <c r="R50" i="3" s="1"/>
  <c r="S50" i="3" s="1"/>
  <c r="A51" i="3"/>
  <c r="B51" i="3" s="1"/>
  <c r="AA50" i="3"/>
  <c r="G15" i="3"/>
  <c r="I15" i="3" s="1"/>
  <c r="V15" i="3"/>
  <c r="AE15" i="3"/>
  <c r="T50" i="3" l="1"/>
  <c r="A52" i="3"/>
  <c r="B52" i="3" s="1"/>
  <c r="AA51" i="3"/>
  <c r="AD51" i="3"/>
  <c r="Z51" i="3"/>
  <c r="P51" i="3"/>
  <c r="Q51" i="3" s="1"/>
  <c r="R51" i="3" s="1"/>
  <c r="S51" i="3" s="1"/>
  <c r="AC51" i="3"/>
  <c r="J15" i="3"/>
  <c r="L15" i="3" s="1"/>
  <c r="M15" i="3"/>
  <c r="N15" i="3" s="1"/>
  <c r="W15" i="3"/>
  <c r="T51" i="3" l="1"/>
  <c r="A53" i="3"/>
  <c r="B53" i="3" s="1"/>
  <c r="AC52" i="3"/>
  <c r="AA52" i="3"/>
  <c r="P52" i="3"/>
  <c r="Q52" i="3" s="1"/>
  <c r="R52" i="3" s="1"/>
  <c r="S52" i="3" s="1"/>
  <c r="Z52" i="3"/>
  <c r="AD52" i="3"/>
  <c r="U15" i="3"/>
  <c r="D16" i="3" s="1"/>
  <c r="AG16" i="3"/>
  <c r="AH16" i="3"/>
  <c r="Y14" i="3"/>
  <c r="T52" i="3" l="1"/>
  <c r="A54" i="3"/>
  <c r="B54" i="3" s="1"/>
  <c r="P53" i="3"/>
  <c r="Q53" i="3" s="1"/>
  <c r="R53" i="3" s="1"/>
  <c r="S53" i="3" s="1"/>
  <c r="AD53" i="3"/>
  <c r="AA53" i="3"/>
  <c r="AC53" i="3"/>
  <c r="Z53" i="3"/>
  <c r="E16" i="3"/>
  <c r="H16" i="3" s="1"/>
  <c r="K16" i="3" s="1"/>
  <c r="G16" i="3"/>
  <c r="T53" i="3" l="1"/>
  <c r="A55" i="3"/>
  <c r="B55" i="3" s="1"/>
  <c r="P54" i="3"/>
  <c r="Q54" i="3" s="1"/>
  <c r="R54" i="3" s="1"/>
  <c r="S54" i="3" s="1"/>
  <c r="Z54" i="3"/>
  <c r="AA54" i="3"/>
  <c r="AC54" i="3"/>
  <c r="AD54" i="3"/>
  <c r="F16" i="3"/>
  <c r="I16" i="3"/>
  <c r="J16" i="3"/>
  <c r="M16" i="3"/>
  <c r="N16" i="3" s="1"/>
  <c r="V16" i="3"/>
  <c r="AE16" i="3"/>
  <c r="T54" i="3" l="1"/>
  <c r="Z55" i="3"/>
  <c r="AD55" i="3"/>
  <c r="P55" i="3"/>
  <c r="Q55" i="3" s="1"/>
  <c r="R55" i="3" s="1"/>
  <c r="S55" i="3" s="1"/>
  <c r="AA55" i="3"/>
  <c r="A56" i="3"/>
  <c r="B56" i="3" s="1"/>
  <c r="AC55" i="3"/>
  <c r="L16" i="3"/>
  <c r="W16" i="3"/>
  <c r="T55" i="3" l="1"/>
  <c r="P56" i="3"/>
  <c r="Q56" i="3" s="1"/>
  <c r="R56" i="3" s="1"/>
  <c r="S56" i="3" s="1"/>
  <c r="AD56" i="3"/>
  <c r="A57" i="3"/>
  <c r="B57" i="3" s="1"/>
  <c r="AC56" i="3"/>
  <c r="AA56" i="3"/>
  <c r="Z56" i="3"/>
  <c r="U16" i="3"/>
  <c r="D17" i="3" s="1"/>
  <c r="AG17" i="3"/>
  <c r="AH17" i="3"/>
  <c r="Y15" i="3"/>
  <c r="T56" i="3" l="1"/>
  <c r="AD57" i="3"/>
  <c r="AC57" i="3"/>
  <c r="Z57" i="3"/>
  <c r="AA57" i="3"/>
  <c r="A58" i="3"/>
  <c r="B58" i="3" s="1"/>
  <c r="P57" i="3"/>
  <c r="Q57" i="3" s="1"/>
  <c r="R57" i="3" s="1"/>
  <c r="S57" i="3" s="1"/>
  <c r="G17" i="3"/>
  <c r="E17" i="3"/>
  <c r="H17" i="3" s="1"/>
  <c r="T57" i="3" l="1"/>
  <c r="AD58" i="3"/>
  <c r="A59" i="3"/>
  <c r="B59" i="3" s="1"/>
  <c r="P58" i="3"/>
  <c r="Q58" i="3" s="1"/>
  <c r="R58" i="3" s="1"/>
  <c r="S58" i="3" s="1"/>
  <c r="AA58" i="3"/>
  <c r="Z58" i="3"/>
  <c r="AC58" i="3"/>
  <c r="F17" i="3"/>
  <c r="I17" i="3"/>
  <c r="J17" i="3"/>
  <c r="M17" i="3"/>
  <c r="N17" i="3" s="1"/>
  <c r="K17" i="3"/>
  <c r="T58" i="3" l="1"/>
  <c r="AA59" i="3"/>
  <c r="P59" i="3"/>
  <c r="Q59" i="3" s="1"/>
  <c r="R59" i="3" s="1"/>
  <c r="S59" i="3" s="1"/>
  <c r="AD59" i="3"/>
  <c r="A60" i="3"/>
  <c r="B60" i="3" s="1"/>
  <c r="Z59" i="3"/>
  <c r="AC59" i="3"/>
  <c r="V17" i="3"/>
  <c r="W17" i="3" s="1"/>
  <c r="AE17" i="3"/>
  <c r="L17" i="3"/>
  <c r="T59" i="3" l="1"/>
  <c r="Z60" i="3"/>
  <c r="AA60" i="3"/>
  <c r="AD60" i="3"/>
  <c r="P60" i="3"/>
  <c r="Q60" i="3" s="1"/>
  <c r="R60" i="3" s="1"/>
  <c r="S60" i="3" s="1"/>
  <c r="A61" i="3"/>
  <c r="B61" i="3" s="1"/>
  <c r="AC60" i="3"/>
  <c r="U17" i="3"/>
  <c r="E18" i="3" s="1"/>
  <c r="H18" i="3" s="1"/>
  <c r="AG18" i="3"/>
  <c r="AH18" i="3"/>
  <c r="Y16" i="3"/>
  <c r="T60" i="3" l="1"/>
  <c r="A62" i="3"/>
  <c r="B62" i="3" s="1"/>
  <c r="AD61" i="3"/>
  <c r="AA61" i="3"/>
  <c r="Z61" i="3"/>
  <c r="P61" i="3"/>
  <c r="Q61" i="3" s="1"/>
  <c r="R61" i="3" s="1"/>
  <c r="S61" i="3" s="1"/>
  <c r="AC61" i="3"/>
  <c r="D18" i="3"/>
  <c r="G18" i="3" s="1"/>
  <c r="K18" i="3"/>
  <c r="T61" i="3" l="1"/>
  <c r="Z62" i="3"/>
  <c r="P62" i="3"/>
  <c r="Q62" i="3" s="1"/>
  <c r="R62" i="3" s="1"/>
  <c r="S62" i="3" s="1"/>
  <c r="AD62" i="3"/>
  <c r="AA62" i="3"/>
  <c r="A63" i="3"/>
  <c r="B63" i="3" s="1"/>
  <c r="AC62" i="3"/>
  <c r="F18" i="3"/>
  <c r="I18" i="3"/>
  <c r="J18" i="3"/>
  <c r="M18" i="3"/>
  <c r="N18" i="3" s="1"/>
  <c r="V18" i="3"/>
  <c r="AE18" i="3"/>
  <c r="T62" i="3" l="1"/>
  <c r="AA63" i="3"/>
  <c r="P63" i="3"/>
  <c r="Q63" i="3" s="1"/>
  <c r="R63" i="3" s="1"/>
  <c r="S63" i="3" s="1"/>
  <c r="AD63" i="3"/>
  <c r="A64" i="3"/>
  <c r="B64" i="3" s="1"/>
  <c r="Z63" i="3"/>
  <c r="AC63" i="3"/>
  <c r="L18" i="3"/>
  <c r="W18" i="3"/>
  <c r="T63" i="3" l="1"/>
  <c r="AA64" i="3"/>
  <c r="AD64" i="3"/>
  <c r="P64" i="3"/>
  <c r="Q64" i="3" s="1"/>
  <c r="R64" i="3" s="1"/>
  <c r="S64" i="3" s="1"/>
  <c r="Z64" i="3"/>
  <c r="AC64" i="3"/>
  <c r="A65" i="3"/>
  <c r="B65" i="3" s="1"/>
  <c r="U18" i="3"/>
  <c r="D19" i="3" s="1"/>
  <c r="AH19" i="3"/>
  <c r="AG19" i="3"/>
  <c r="Y17" i="3"/>
  <c r="T64" i="3" l="1"/>
  <c r="AA65" i="3"/>
  <c r="AD65" i="3"/>
  <c r="Z65" i="3"/>
  <c r="A66" i="3"/>
  <c r="B66" i="3" s="1"/>
  <c r="AC65" i="3"/>
  <c r="P65" i="3"/>
  <c r="Q65" i="3" s="1"/>
  <c r="R65" i="3" s="1"/>
  <c r="S65" i="3" s="1"/>
  <c r="G19" i="3"/>
  <c r="E19" i="3"/>
  <c r="H19" i="3" s="1"/>
  <c r="T65" i="3" l="1"/>
  <c r="AC66" i="3"/>
  <c r="AA66" i="3"/>
  <c r="A67" i="3"/>
  <c r="B67" i="3" s="1"/>
  <c r="P66" i="3"/>
  <c r="Q66" i="3" s="1"/>
  <c r="R66" i="3" s="1"/>
  <c r="S66" i="3" s="1"/>
  <c r="AD66" i="3"/>
  <c r="Z66" i="3"/>
  <c r="F19" i="3"/>
  <c r="I19" i="3"/>
  <c r="J19" i="3"/>
  <c r="M19" i="3"/>
  <c r="N19" i="3" s="1"/>
  <c r="K19" i="3"/>
  <c r="T66" i="3" l="1"/>
  <c r="AA67" i="3"/>
  <c r="AD67" i="3"/>
  <c r="P67" i="3"/>
  <c r="Q67" i="3" s="1"/>
  <c r="R67" i="3" s="1"/>
  <c r="S67" i="3" s="1"/>
  <c r="A68" i="3"/>
  <c r="B68" i="3" s="1"/>
  <c r="Z67" i="3"/>
  <c r="AC67" i="3"/>
  <c r="V19" i="3"/>
  <c r="W19" i="3" s="1"/>
  <c r="AE19" i="3"/>
  <c r="L19" i="3"/>
  <c r="T67" i="3" l="1"/>
  <c r="AD68" i="3"/>
  <c r="AC68" i="3"/>
  <c r="A69" i="3"/>
  <c r="B69" i="3" s="1"/>
  <c r="P68" i="3"/>
  <c r="Q68" i="3" s="1"/>
  <c r="R68" i="3" s="1"/>
  <c r="S68" i="3" s="1"/>
  <c r="AA68" i="3"/>
  <c r="Z68" i="3"/>
  <c r="AH20" i="3"/>
  <c r="U19" i="3"/>
  <c r="E20" i="3" s="1"/>
  <c r="H20" i="3" s="1"/>
  <c r="AG20" i="3"/>
  <c r="Y18" i="3"/>
  <c r="T68" i="3" l="1"/>
  <c r="Z69" i="3"/>
  <c r="P69" i="3"/>
  <c r="Q69" i="3" s="1"/>
  <c r="R69" i="3" s="1"/>
  <c r="S69" i="3" s="1"/>
  <c r="AD69" i="3"/>
  <c r="AC69" i="3"/>
  <c r="AA69" i="3"/>
  <c r="A70" i="3"/>
  <c r="B70" i="3" s="1"/>
  <c r="D20" i="3"/>
  <c r="G20" i="3" s="1"/>
  <c r="K20" i="3"/>
  <c r="T69" i="3" l="1"/>
  <c r="P70" i="3"/>
  <c r="Q70" i="3" s="1"/>
  <c r="R70" i="3" s="1"/>
  <c r="S70" i="3" s="1"/>
  <c r="Z70" i="3"/>
  <c r="AD70" i="3"/>
  <c r="A71" i="3"/>
  <c r="B71" i="3" s="1"/>
  <c r="AC70" i="3"/>
  <c r="AA70" i="3"/>
  <c r="F20" i="3"/>
  <c r="V20" i="3"/>
  <c r="AE20" i="3"/>
  <c r="I20" i="3"/>
  <c r="J20" i="3"/>
  <c r="M20" i="3"/>
  <c r="N20" i="3" s="1"/>
  <c r="T70" i="3" l="1"/>
  <c r="AD71" i="3"/>
  <c r="A72" i="3"/>
  <c r="B72" i="3" s="1"/>
  <c r="AC71" i="3"/>
  <c r="P71" i="3"/>
  <c r="Q71" i="3" s="1"/>
  <c r="R71" i="3" s="1"/>
  <c r="S71" i="3" s="1"/>
  <c r="AA71" i="3"/>
  <c r="Z71" i="3"/>
  <c r="L20" i="3"/>
  <c r="W20" i="3"/>
  <c r="T71" i="3" l="1"/>
  <c r="AD72" i="3"/>
  <c r="A73" i="3"/>
  <c r="B73" i="3" s="1"/>
  <c r="P72" i="3"/>
  <c r="Q72" i="3" s="1"/>
  <c r="R72" i="3" s="1"/>
  <c r="S72" i="3" s="1"/>
  <c r="AA72" i="3"/>
  <c r="Z72" i="3"/>
  <c r="AC72" i="3"/>
  <c r="AG21" i="3"/>
  <c r="U20" i="3"/>
  <c r="E21" i="3" s="1"/>
  <c r="H21" i="3" s="1"/>
  <c r="AH21" i="3"/>
  <c r="Y19" i="3"/>
  <c r="T72" i="3" l="1"/>
  <c r="P73" i="3"/>
  <c r="Q73" i="3" s="1"/>
  <c r="R73" i="3" s="1"/>
  <c r="S73" i="3" s="1"/>
  <c r="AC73" i="3"/>
  <c r="AD73" i="3"/>
  <c r="A74" i="3"/>
  <c r="B74" i="3" s="1"/>
  <c r="AA73" i="3"/>
  <c r="Z73" i="3"/>
  <c r="D21" i="3"/>
  <c r="G21" i="3" s="1"/>
  <c r="K21" i="3"/>
  <c r="T73" i="3" l="1"/>
  <c r="AC74" i="3"/>
  <c r="P74" i="3"/>
  <c r="Q74" i="3" s="1"/>
  <c r="R74" i="3" s="1"/>
  <c r="S74" i="3" s="1"/>
  <c r="A75" i="3"/>
  <c r="B75" i="3" s="1"/>
  <c r="AA74" i="3"/>
  <c r="AD74" i="3"/>
  <c r="Z74" i="3"/>
  <c r="F21" i="3"/>
  <c r="I21" i="3"/>
  <c r="J21" i="3"/>
  <c r="M21" i="3"/>
  <c r="N21" i="3" s="1"/>
  <c r="V21" i="3"/>
  <c r="AE21" i="3"/>
  <c r="T74" i="3" l="1"/>
  <c r="P75" i="3"/>
  <c r="Q75" i="3" s="1"/>
  <c r="R75" i="3" s="1"/>
  <c r="S75" i="3" s="1"/>
  <c r="Z75" i="3"/>
  <c r="AD75" i="3"/>
  <c r="A76" i="3"/>
  <c r="B76" i="3" s="1"/>
  <c r="AC75" i="3"/>
  <c r="AA75" i="3"/>
  <c r="W21" i="3"/>
  <c r="L21" i="3"/>
  <c r="T75" i="3" l="1"/>
  <c r="A77" i="3"/>
  <c r="B77" i="3" s="1"/>
  <c r="AC76" i="3"/>
  <c r="AA76" i="3"/>
  <c r="AD76" i="3"/>
  <c r="P76" i="3"/>
  <c r="Q76" i="3" s="1"/>
  <c r="R76" i="3" s="1"/>
  <c r="S76" i="3" s="1"/>
  <c r="Z76" i="3"/>
  <c r="AG22" i="3"/>
  <c r="U21" i="3"/>
  <c r="D22" i="3" s="1"/>
  <c r="AH22" i="3"/>
  <c r="Y20" i="3"/>
  <c r="T76" i="3" l="1"/>
  <c r="AC77" i="3"/>
  <c r="A78" i="3"/>
  <c r="B78" i="3" s="1"/>
  <c r="AA77" i="3"/>
  <c r="Z77" i="3"/>
  <c r="P77" i="3"/>
  <c r="Q77" i="3" s="1"/>
  <c r="R77" i="3" s="1"/>
  <c r="S77" i="3" s="1"/>
  <c r="AD77" i="3"/>
  <c r="G22" i="3"/>
  <c r="E22" i="3"/>
  <c r="H22" i="3" s="1"/>
  <c r="T77" i="3" l="1"/>
  <c r="P78" i="3"/>
  <c r="Q78" i="3" s="1"/>
  <c r="R78" i="3" s="1"/>
  <c r="S78" i="3" s="1"/>
  <c r="AA78" i="3"/>
  <c r="A79" i="3"/>
  <c r="B79" i="3" s="1"/>
  <c r="AD78" i="3"/>
  <c r="AC78" i="3"/>
  <c r="Z78" i="3"/>
  <c r="I22" i="3"/>
  <c r="J22" i="3"/>
  <c r="M22" i="3"/>
  <c r="N22" i="3" s="1"/>
  <c r="K22" i="3"/>
  <c r="F22" i="3"/>
  <c r="T78" i="3" l="1"/>
  <c r="AA79" i="3"/>
  <c r="P79" i="3"/>
  <c r="Q79" i="3" s="1"/>
  <c r="R79" i="3" s="1"/>
  <c r="S79" i="3" s="1"/>
  <c r="AC79" i="3"/>
  <c r="AD79" i="3"/>
  <c r="A80" i="3"/>
  <c r="B80" i="3" s="1"/>
  <c r="Z79" i="3"/>
  <c r="L22" i="3"/>
  <c r="V22" i="3"/>
  <c r="W22" i="3" s="1"/>
  <c r="AE22" i="3"/>
  <c r="T79" i="3" l="1"/>
  <c r="AA80" i="3"/>
  <c r="A81" i="3"/>
  <c r="B81" i="3" s="1"/>
  <c r="AD80" i="3"/>
  <c r="AC80" i="3"/>
  <c r="Z80" i="3"/>
  <c r="P80" i="3"/>
  <c r="Q80" i="3" s="1"/>
  <c r="R80" i="3" s="1"/>
  <c r="S80" i="3" s="1"/>
  <c r="U22" i="3"/>
  <c r="E23" i="3" s="1"/>
  <c r="H23" i="3" s="1"/>
  <c r="AH23" i="3"/>
  <c r="AG23" i="3"/>
  <c r="Y21" i="3"/>
  <c r="T80" i="3" l="1"/>
  <c r="P81" i="3"/>
  <c r="Q81" i="3" s="1"/>
  <c r="R81" i="3" s="1"/>
  <c r="S81" i="3" s="1"/>
  <c r="AC81" i="3"/>
  <c r="AA81" i="3"/>
  <c r="A82" i="3"/>
  <c r="B82" i="3" s="1"/>
  <c r="AD81" i="3"/>
  <c r="Z81" i="3"/>
  <c r="K23" i="3"/>
  <c r="D23" i="3"/>
  <c r="T81" i="3" l="1"/>
  <c r="Z82" i="3"/>
  <c r="AD82" i="3"/>
  <c r="A83" i="3"/>
  <c r="B83" i="3" s="1"/>
  <c r="AC82" i="3"/>
  <c r="P82" i="3"/>
  <c r="Q82" i="3" s="1"/>
  <c r="R82" i="3" s="1"/>
  <c r="S82" i="3" s="1"/>
  <c r="AA82" i="3"/>
  <c r="V23" i="3"/>
  <c r="AE23" i="3"/>
  <c r="F23" i="3"/>
  <c r="G23" i="3"/>
  <c r="T82" i="3" l="1"/>
  <c r="AC83" i="3"/>
  <c r="AA83" i="3"/>
  <c r="AD83" i="3"/>
  <c r="A84" i="3"/>
  <c r="B84" i="3" s="1"/>
  <c r="P83" i="3"/>
  <c r="Q83" i="3" s="1"/>
  <c r="R83" i="3" s="1"/>
  <c r="S83" i="3" s="1"/>
  <c r="Z83" i="3"/>
  <c r="I23" i="3"/>
  <c r="W23" i="3" s="1"/>
  <c r="J23" i="3"/>
  <c r="M23" i="3"/>
  <c r="N23" i="3" s="1"/>
  <c r="T83" i="3" l="1"/>
  <c r="Z84" i="3"/>
  <c r="AA84" i="3"/>
  <c r="A85" i="3"/>
  <c r="B85" i="3" s="1"/>
  <c r="AD84" i="3"/>
  <c r="P84" i="3"/>
  <c r="Q84" i="3" s="1"/>
  <c r="R84" i="3" s="1"/>
  <c r="S84" i="3" s="1"/>
  <c r="AC84" i="3"/>
  <c r="L23" i="3"/>
  <c r="T84" i="3" l="1"/>
  <c r="AA85" i="3"/>
  <c r="P85" i="3"/>
  <c r="Q85" i="3" s="1"/>
  <c r="R85" i="3" s="1"/>
  <c r="S85" i="3" s="1"/>
  <c r="AC85" i="3"/>
  <c r="AD85" i="3"/>
  <c r="A86" i="3"/>
  <c r="B86" i="3" s="1"/>
  <c r="Z85" i="3"/>
  <c r="AG24" i="3"/>
  <c r="AH24" i="3"/>
  <c r="U23" i="3"/>
  <c r="E24" i="3" s="1"/>
  <c r="H24" i="3" s="1"/>
  <c r="Y22" i="3"/>
  <c r="T85" i="3" l="1"/>
  <c r="P86" i="3"/>
  <c r="Q86" i="3" s="1"/>
  <c r="R86" i="3" s="1"/>
  <c r="S86" i="3" s="1"/>
  <c r="AD86" i="3"/>
  <c r="AC86" i="3"/>
  <c r="Z86" i="3"/>
  <c r="A87" i="3"/>
  <c r="B87" i="3" s="1"/>
  <c r="AA86" i="3"/>
  <c r="D24" i="3"/>
  <c r="G24" i="3" s="1"/>
  <c r="K24" i="3"/>
  <c r="T86" i="3" l="1"/>
  <c r="Z87" i="3"/>
  <c r="P87" i="3"/>
  <c r="Q87" i="3" s="1"/>
  <c r="R87" i="3" s="1"/>
  <c r="S87" i="3" s="1"/>
  <c r="AA87" i="3"/>
  <c r="AD87" i="3"/>
  <c r="AC87" i="3"/>
  <c r="A88" i="3"/>
  <c r="B88" i="3" s="1"/>
  <c r="F24" i="3"/>
  <c r="V24" i="3"/>
  <c r="AE24" i="3"/>
  <c r="I24" i="3"/>
  <c r="J24" i="3"/>
  <c r="M24" i="3"/>
  <c r="N24" i="3" s="1"/>
  <c r="T87" i="3" l="1"/>
  <c r="AD88" i="3"/>
  <c r="A89" i="3"/>
  <c r="B89" i="3" s="1"/>
  <c r="P88" i="3"/>
  <c r="Q88" i="3" s="1"/>
  <c r="R88" i="3" s="1"/>
  <c r="S88" i="3" s="1"/>
  <c r="AC88" i="3"/>
  <c r="Z88" i="3"/>
  <c r="AA88" i="3"/>
  <c r="L24" i="3"/>
  <c r="W24" i="3"/>
  <c r="T88" i="3" l="1"/>
  <c r="Z89" i="3"/>
  <c r="AC89" i="3"/>
  <c r="AD89" i="3"/>
  <c r="A90" i="3"/>
  <c r="B90" i="3" s="1"/>
  <c r="AA89" i="3"/>
  <c r="P89" i="3"/>
  <c r="Q89" i="3" s="1"/>
  <c r="R89" i="3" s="1"/>
  <c r="S89" i="3" s="1"/>
  <c r="AH25" i="3"/>
  <c r="AG25" i="3"/>
  <c r="U24" i="3"/>
  <c r="D25" i="3" s="1"/>
  <c r="Y23" i="3"/>
  <c r="T89" i="3" l="1"/>
  <c r="A91" i="3"/>
  <c r="B91" i="3" s="1"/>
  <c r="P90" i="3"/>
  <c r="Q90" i="3" s="1"/>
  <c r="R90" i="3" s="1"/>
  <c r="S90" i="3" s="1"/>
  <c r="Z90" i="3"/>
  <c r="AD90" i="3"/>
  <c r="AC90" i="3"/>
  <c r="AA90" i="3"/>
  <c r="E25" i="3"/>
  <c r="H25" i="3" s="1"/>
  <c r="K25" i="3" s="1"/>
  <c r="G25" i="3"/>
  <c r="T90" i="3" l="1"/>
  <c r="P91" i="3"/>
  <c r="Q91" i="3" s="1"/>
  <c r="R91" i="3" s="1"/>
  <c r="S91" i="3" s="1"/>
  <c r="A92" i="3"/>
  <c r="B92" i="3" s="1"/>
  <c r="AD91" i="3"/>
  <c r="AC91" i="3"/>
  <c r="Z91" i="3"/>
  <c r="AA91" i="3"/>
  <c r="F25" i="3"/>
  <c r="I25" i="3"/>
  <c r="J25" i="3"/>
  <c r="M25" i="3"/>
  <c r="N25" i="3" s="1"/>
  <c r="V25" i="3"/>
  <c r="AE25" i="3"/>
  <c r="T91" i="3" l="1"/>
  <c r="AD92" i="3"/>
  <c r="Z92" i="3"/>
  <c r="AA92" i="3"/>
  <c r="P92" i="3"/>
  <c r="Q92" i="3" s="1"/>
  <c r="R92" i="3" s="1"/>
  <c r="S92" i="3" s="1"/>
  <c r="AC92" i="3"/>
  <c r="A93" i="3"/>
  <c r="B93" i="3" s="1"/>
  <c r="W25" i="3"/>
  <c r="L25" i="3"/>
  <c r="T92" i="3" l="1"/>
  <c r="AC93" i="3"/>
  <c r="Z93" i="3"/>
  <c r="A94" i="3"/>
  <c r="B94" i="3" s="1"/>
  <c r="AA93" i="3"/>
  <c r="P93" i="3"/>
  <c r="Q93" i="3" s="1"/>
  <c r="R93" i="3" s="1"/>
  <c r="S93" i="3" s="1"/>
  <c r="AD93" i="3"/>
  <c r="U25" i="3"/>
  <c r="E26" i="3" s="1"/>
  <c r="H26" i="3" s="1"/>
  <c r="AH26" i="3"/>
  <c r="AG26" i="3"/>
  <c r="Y24" i="3"/>
  <c r="T93" i="3" l="1"/>
  <c r="AC94" i="3"/>
  <c r="Z94" i="3"/>
  <c r="AA94" i="3"/>
  <c r="AD94" i="3"/>
  <c r="P94" i="3"/>
  <c r="Q94" i="3" s="1"/>
  <c r="R94" i="3" s="1"/>
  <c r="S94" i="3" s="1"/>
  <c r="A95" i="3"/>
  <c r="B95" i="3" s="1"/>
  <c r="D26" i="3"/>
  <c r="G26" i="3" s="1"/>
  <c r="K26" i="3"/>
  <c r="T94" i="3" l="1"/>
  <c r="AD95" i="3"/>
  <c r="AA95" i="3"/>
  <c r="P95" i="3"/>
  <c r="Q95" i="3" s="1"/>
  <c r="R95" i="3" s="1"/>
  <c r="S95" i="3" s="1"/>
  <c r="A96" i="3"/>
  <c r="B96" i="3" s="1"/>
  <c r="AC95" i="3"/>
  <c r="Z95" i="3"/>
  <c r="F26" i="3"/>
  <c r="I26" i="3"/>
  <c r="J26" i="3"/>
  <c r="M26" i="3"/>
  <c r="N26" i="3" s="1"/>
  <c r="V26" i="3"/>
  <c r="AE26" i="3"/>
  <c r="T95" i="3" l="1"/>
  <c r="P96" i="3"/>
  <c r="Q96" i="3" s="1"/>
  <c r="R96" i="3" s="1"/>
  <c r="S96" i="3" s="1"/>
  <c r="AD96" i="3"/>
  <c r="Z96" i="3"/>
  <c r="AC96" i="3"/>
  <c r="AA96" i="3"/>
  <c r="A97" i="3"/>
  <c r="B97" i="3" s="1"/>
  <c r="W26" i="3"/>
  <c r="L26" i="3"/>
  <c r="T96" i="3" l="1"/>
  <c r="AD97" i="3"/>
  <c r="AA97" i="3"/>
  <c r="Z97" i="3"/>
  <c r="AC97" i="3"/>
  <c r="P97" i="3"/>
  <c r="Q97" i="3" s="1"/>
  <c r="R97" i="3" s="1"/>
  <c r="S97" i="3" s="1"/>
  <c r="A98" i="3"/>
  <c r="B98" i="3" s="1"/>
  <c r="AH27" i="3"/>
  <c r="U26" i="3"/>
  <c r="D27" i="3" s="1"/>
  <c r="AG27" i="3"/>
  <c r="Y25" i="3"/>
  <c r="T97" i="3" l="1"/>
  <c r="AA98" i="3"/>
  <c r="Z98" i="3"/>
  <c r="AC98" i="3"/>
  <c r="A99" i="3"/>
  <c r="B99" i="3" s="1"/>
  <c r="AD98" i="3"/>
  <c r="P98" i="3"/>
  <c r="Q98" i="3" s="1"/>
  <c r="R98" i="3" s="1"/>
  <c r="S98" i="3" s="1"/>
  <c r="E27" i="3"/>
  <c r="H27" i="3" s="1"/>
  <c r="K27" i="3" s="1"/>
  <c r="G27" i="3"/>
  <c r="T98" i="3" l="1"/>
  <c r="AD99" i="3"/>
  <c r="P99" i="3"/>
  <c r="Q99" i="3" s="1"/>
  <c r="R99" i="3" s="1"/>
  <c r="S99" i="3" s="1"/>
  <c r="Z99" i="3"/>
  <c r="AC99" i="3"/>
  <c r="AA99" i="3"/>
  <c r="A100" i="3"/>
  <c r="B100" i="3" s="1"/>
  <c r="F27" i="3"/>
  <c r="I27" i="3"/>
  <c r="J27" i="3"/>
  <c r="M27" i="3"/>
  <c r="N27" i="3" s="1"/>
  <c r="V27" i="3"/>
  <c r="AE27" i="3"/>
  <c r="T99" i="3" l="1"/>
  <c r="A101" i="3"/>
  <c r="B101" i="3" s="1"/>
  <c r="AA100" i="3"/>
  <c r="AD100" i="3"/>
  <c r="P100" i="3"/>
  <c r="Q100" i="3" s="1"/>
  <c r="R100" i="3" s="1"/>
  <c r="S100" i="3" s="1"/>
  <c r="AC100" i="3"/>
  <c r="Z100" i="3"/>
  <c r="L27" i="3"/>
  <c r="W27" i="3"/>
  <c r="T100" i="3" l="1"/>
  <c r="AC101" i="3"/>
  <c r="P101" i="3"/>
  <c r="Q101" i="3" s="1"/>
  <c r="R101" i="3" s="1"/>
  <c r="S101" i="3" s="1"/>
  <c r="Z101" i="3"/>
  <c r="AA101" i="3"/>
  <c r="AD101" i="3"/>
  <c r="A102" i="3"/>
  <c r="B102" i="3" s="1"/>
  <c r="U27" i="3"/>
  <c r="E28" i="3" s="1"/>
  <c r="H28" i="3" s="1"/>
  <c r="AG28" i="3"/>
  <c r="AH28" i="3"/>
  <c r="Y26" i="3"/>
  <c r="T101" i="3" l="1"/>
  <c r="Z102" i="3"/>
  <c r="P102" i="3"/>
  <c r="Q102" i="3" s="1"/>
  <c r="R102" i="3" s="1"/>
  <c r="S102" i="3" s="1"/>
  <c r="AA102" i="3"/>
  <c r="A103" i="3"/>
  <c r="B103" i="3" s="1"/>
  <c r="AD102" i="3"/>
  <c r="AC102" i="3"/>
  <c r="D28" i="3"/>
  <c r="F28" i="3" s="1"/>
  <c r="K28" i="3"/>
  <c r="T102" i="3" l="1"/>
  <c r="P103" i="3"/>
  <c r="Q103" i="3" s="1"/>
  <c r="R103" i="3" s="1"/>
  <c r="S103" i="3" s="1"/>
  <c r="AC103" i="3"/>
  <c r="Z103" i="3"/>
  <c r="A104" i="3"/>
  <c r="B104" i="3" s="1"/>
  <c r="AD103" i="3"/>
  <c r="AA103" i="3"/>
  <c r="G28" i="3"/>
  <c r="I28" i="3" s="1"/>
  <c r="V28" i="3"/>
  <c r="AE28" i="3"/>
  <c r="T103" i="3" l="1"/>
  <c r="A105" i="3"/>
  <c r="B105" i="3" s="1"/>
  <c r="P104" i="3"/>
  <c r="Q104" i="3" s="1"/>
  <c r="R104" i="3" s="1"/>
  <c r="S104" i="3" s="1"/>
  <c r="AC104" i="3"/>
  <c r="Z104" i="3"/>
  <c r="AA104" i="3"/>
  <c r="M28" i="3"/>
  <c r="N28" i="3" s="1"/>
  <c r="J28" i="3"/>
  <c r="L28" i="3" s="1"/>
  <c r="W28" i="3"/>
  <c r="T104" i="3" l="1"/>
  <c r="Z105" i="3"/>
  <c r="AC105" i="3"/>
  <c r="AA105" i="3"/>
  <c r="A106" i="3"/>
  <c r="B106" i="3" s="1"/>
  <c r="P105" i="3"/>
  <c r="Q105" i="3" s="1"/>
  <c r="R105" i="3" s="1"/>
  <c r="S105" i="3" s="1"/>
  <c r="AD105" i="3"/>
  <c r="AH29" i="3"/>
  <c r="AG29" i="3"/>
  <c r="U28" i="3"/>
  <c r="E29" i="3" s="1"/>
  <c r="H29" i="3" s="1"/>
  <c r="Y27" i="3"/>
  <c r="T105" i="3" l="1"/>
  <c r="Z106" i="3"/>
  <c r="AC106" i="3"/>
  <c r="A107" i="3"/>
  <c r="B107" i="3" s="1"/>
  <c r="AA106" i="3"/>
  <c r="P106" i="3"/>
  <c r="Q106" i="3" s="1"/>
  <c r="R106" i="3" s="1"/>
  <c r="S106" i="3" s="1"/>
  <c r="AD106" i="3"/>
  <c r="D29" i="3"/>
  <c r="F29" i="3" s="1"/>
  <c r="K29" i="3"/>
  <c r="T106" i="3" l="1"/>
  <c r="AC107" i="3"/>
  <c r="A108" i="3"/>
  <c r="B108" i="3" s="1"/>
  <c r="P107" i="3"/>
  <c r="Q107" i="3" s="1"/>
  <c r="R107" i="3" s="1"/>
  <c r="S107" i="3" s="1"/>
  <c r="Z107" i="3"/>
  <c r="AD107" i="3"/>
  <c r="AA107" i="3"/>
  <c r="G29" i="3"/>
  <c r="M29" i="3" s="1"/>
  <c r="N29" i="3" s="1"/>
  <c r="V29" i="3"/>
  <c r="AE29" i="3"/>
  <c r="T107" i="3" l="1"/>
  <c r="AA108" i="3"/>
  <c r="AC108" i="3"/>
  <c r="P108" i="3"/>
  <c r="Q108" i="3" s="1"/>
  <c r="R108" i="3" s="1"/>
  <c r="S108" i="3" s="1"/>
  <c r="Z108" i="3"/>
  <c r="AD108" i="3"/>
  <c r="A109" i="3"/>
  <c r="B109" i="3" s="1"/>
  <c r="J29" i="3"/>
  <c r="L29" i="3" s="1"/>
  <c r="I29" i="3"/>
  <c r="W29" i="3" s="1"/>
  <c r="T108" i="3" l="1"/>
  <c r="P109" i="3"/>
  <c r="Q109" i="3" s="1"/>
  <c r="R109" i="3" s="1"/>
  <c r="S109" i="3" s="1"/>
  <c r="AC109" i="3"/>
  <c r="AD109" i="3"/>
  <c r="Z109" i="3"/>
  <c r="A110" i="3"/>
  <c r="B110" i="3" s="1"/>
  <c r="AA109" i="3"/>
  <c r="U29" i="3"/>
  <c r="D30" i="3" s="1"/>
  <c r="AG30" i="3"/>
  <c r="AH30" i="3"/>
  <c r="Y28" i="3"/>
  <c r="T109" i="3" l="1"/>
  <c r="A111" i="3"/>
  <c r="B111" i="3" s="1"/>
  <c r="AD110" i="3"/>
  <c r="P110" i="3"/>
  <c r="Q110" i="3" s="1"/>
  <c r="R110" i="3" s="1"/>
  <c r="S110" i="3" s="1"/>
  <c r="AC110" i="3"/>
  <c r="AA110" i="3"/>
  <c r="Z110" i="3"/>
  <c r="E30" i="3"/>
  <c r="H30" i="3" s="1"/>
  <c r="K30" i="3" s="1"/>
  <c r="G30" i="3"/>
  <c r="T110" i="3" l="1"/>
  <c r="AC111" i="3"/>
  <c r="AD111" i="3"/>
  <c r="A112" i="3"/>
  <c r="B112" i="3" s="1"/>
  <c r="Z111" i="3"/>
  <c r="AA111" i="3"/>
  <c r="P111" i="3"/>
  <c r="Q111" i="3" s="1"/>
  <c r="R111" i="3" s="1"/>
  <c r="S111" i="3" s="1"/>
  <c r="F30" i="3"/>
  <c r="I30" i="3"/>
  <c r="J30" i="3"/>
  <c r="M30" i="3"/>
  <c r="N30" i="3" s="1"/>
  <c r="V30" i="3"/>
  <c r="AE30" i="3"/>
  <c r="T111" i="3" l="1"/>
  <c r="P112" i="3"/>
  <c r="Q112" i="3" s="1"/>
  <c r="R112" i="3" s="1"/>
  <c r="S112" i="3" s="1"/>
  <c r="Z112" i="3"/>
  <c r="AC112" i="3"/>
  <c r="AD112" i="3"/>
  <c r="A113" i="3"/>
  <c r="B113" i="3" s="1"/>
  <c r="AA112" i="3"/>
  <c r="W30" i="3"/>
  <c r="L30" i="3"/>
  <c r="T112" i="3" l="1"/>
  <c r="Z113" i="3"/>
  <c r="AD113" i="3"/>
  <c r="A114" i="3"/>
  <c r="B114" i="3" s="1"/>
  <c r="P113" i="3"/>
  <c r="Q113" i="3" s="1"/>
  <c r="R113" i="3" s="1"/>
  <c r="S113" i="3" s="1"/>
  <c r="AC113" i="3"/>
  <c r="AA113" i="3"/>
  <c r="U30" i="3"/>
  <c r="D31" i="3" s="1"/>
  <c r="AG31" i="3"/>
  <c r="AH31" i="3"/>
  <c r="Y29" i="3"/>
  <c r="T113" i="3" l="1"/>
  <c r="P114" i="3"/>
  <c r="Q114" i="3" s="1"/>
  <c r="R114" i="3" s="1"/>
  <c r="S114" i="3" s="1"/>
  <c r="AA114" i="3"/>
  <c r="Z114" i="3"/>
  <c r="AD114" i="3"/>
  <c r="AC114" i="3"/>
  <c r="A115" i="3"/>
  <c r="B115" i="3" s="1"/>
  <c r="E31" i="3"/>
  <c r="H31" i="3" s="1"/>
  <c r="K31" i="3" s="1"/>
  <c r="G31" i="3"/>
  <c r="T114" i="3" l="1"/>
  <c r="AA115" i="3"/>
  <c r="AD115" i="3"/>
  <c r="AC115" i="3"/>
  <c r="P115" i="3"/>
  <c r="Q115" i="3" s="1"/>
  <c r="R115" i="3" s="1"/>
  <c r="S115" i="3" s="1"/>
  <c r="A116" i="3"/>
  <c r="B116" i="3" s="1"/>
  <c r="Z115" i="3"/>
  <c r="F31" i="3"/>
  <c r="V31" i="3"/>
  <c r="AE31" i="3"/>
  <c r="I31" i="3"/>
  <c r="J31" i="3"/>
  <c r="M31" i="3"/>
  <c r="N31" i="3" s="1"/>
  <c r="T115" i="3" l="1"/>
  <c r="AA116" i="3"/>
  <c r="P116" i="3"/>
  <c r="Q116" i="3" s="1"/>
  <c r="R116" i="3" s="1"/>
  <c r="S116" i="3" s="1"/>
  <c r="AC116" i="3"/>
  <c r="Z116" i="3"/>
  <c r="AD116" i="3"/>
  <c r="A117" i="3"/>
  <c r="B117" i="3" s="1"/>
  <c r="L31" i="3"/>
  <c r="W31" i="3"/>
  <c r="T116" i="3" l="1"/>
  <c r="AC117" i="3"/>
  <c r="AA117" i="3"/>
  <c r="P117" i="3"/>
  <c r="Q117" i="3" s="1"/>
  <c r="R117" i="3" s="1"/>
  <c r="S117" i="3" s="1"/>
  <c r="Z117" i="3"/>
  <c r="A118" i="3"/>
  <c r="B118" i="3" s="1"/>
  <c r="AD117" i="3"/>
  <c r="AG32" i="3"/>
  <c r="AH32" i="3"/>
  <c r="U31" i="3"/>
  <c r="E32" i="3" s="1"/>
  <c r="H32" i="3" s="1"/>
  <c r="Y30" i="3"/>
  <c r="T117" i="3" l="1"/>
  <c r="AC118" i="3"/>
  <c r="AD118" i="3"/>
  <c r="Z118" i="3"/>
  <c r="AA118" i="3"/>
  <c r="P118" i="3"/>
  <c r="Q118" i="3" s="1"/>
  <c r="R118" i="3" s="1"/>
  <c r="S118" i="3" s="1"/>
  <c r="A119" i="3"/>
  <c r="B119" i="3" s="1"/>
  <c r="D32" i="3"/>
  <c r="F32" i="3" s="1"/>
  <c r="K32" i="3"/>
  <c r="T118" i="3" l="1"/>
  <c r="AC119" i="3"/>
  <c r="AA119" i="3"/>
  <c r="A120" i="3"/>
  <c r="B120" i="3" s="1"/>
  <c r="P119" i="3"/>
  <c r="Q119" i="3" s="1"/>
  <c r="R119" i="3" s="1"/>
  <c r="S119" i="3" s="1"/>
  <c r="AD119" i="3"/>
  <c r="Z119" i="3"/>
  <c r="G32" i="3"/>
  <c r="I32" i="3" s="1"/>
  <c r="V32" i="3"/>
  <c r="AE32" i="3"/>
  <c r="T119" i="3" l="1"/>
  <c r="A121" i="3"/>
  <c r="B121" i="3" s="1"/>
  <c r="AC120" i="3"/>
  <c r="P120" i="3"/>
  <c r="Q120" i="3" s="1"/>
  <c r="R120" i="3" s="1"/>
  <c r="S120" i="3" s="1"/>
  <c r="AA120" i="3"/>
  <c r="Z120" i="3"/>
  <c r="AD120" i="3"/>
  <c r="M32" i="3"/>
  <c r="N32" i="3" s="1"/>
  <c r="J32" i="3"/>
  <c r="L32" i="3" s="1"/>
  <c r="W32" i="3"/>
  <c r="T120" i="3" l="1"/>
  <c r="P121" i="3"/>
  <c r="Q121" i="3" s="1"/>
  <c r="R121" i="3" s="1"/>
  <c r="S121" i="3" s="1"/>
  <c r="AA121" i="3"/>
  <c r="AC121" i="3"/>
  <c r="Z121" i="3"/>
  <c r="A122" i="3"/>
  <c r="B122" i="3" s="1"/>
  <c r="AD121" i="3"/>
  <c r="AH33" i="3"/>
  <c r="AG33" i="3"/>
  <c r="U32" i="3"/>
  <c r="D33" i="3" s="1"/>
  <c r="Y31" i="3"/>
  <c r="T121" i="3" l="1"/>
  <c r="AC122" i="3"/>
  <c r="P122" i="3"/>
  <c r="Q122" i="3" s="1"/>
  <c r="R122" i="3" s="1"/>
  <c r="S122" i="3" s="1"/>
  <c r="AD122" i="3"/>
  <c r="AA122" i="3"/>
  <c r="Z122" i="3"/>
  <c r="A123" i="3"/>
  <c r="B123" i="3" s="1"/>
  <c r="E33" i="3"/>
  <c r="H33" i="3" s="1"/>
  <c r="K33" i="3" s="1"/>
  <c r="G33" i="3"/>
  <c r="T122" i="3" l="1"/>
  <c r="P123" i="3"/>
  <c r="Q123" i="3" s="1"/>
  <c r="R123" i="3" s="1"/>
  <c r="S123" i="3" s="1"/>
  <c r="AD123" i="3"/>
  <c r="AA123" i="3"/>
  <c r="A124" i="3"/>
  <c r="B124" i="3" s="1"/>
  <c r="AC123" i="3"/>
  <c r="Z123" i="3"/>
  <c r="F33" i="3"/>
  <c r="I33" i="3"/>
  <c r="J33" i="3"/>
  <c r="M33" i="3"/>
  <c r="N33" i="3" s="1"/>
  <c r="V33" i="3"/>
  <c r="AE33" i="3"/>
  <c r="T123" i="3" l="1"/>
  <c r="AC124" i="3"/>
  <c r="Z124" i="3"/>
  <c r="AD124" i="3"/>
  <c r="A125" i="3"/>
  <c r="B125" i="3" s="1"/>
  <c r="P124" i="3"/>
  <c r="Q124" i="3" s="1"/>
  <c r="R124" i="3" s="1"/>
  <c r="S124" i="3" s="1"/>
  <c r="AA124" i="3"/>
  <c r="W33" i="3"/>
  <c r="L33" i="3"/>
  <c r="T124" i="3" l="1"/>
  <c r="A126" i="3"/>
  <c r="B126" i="3" s="1"/>
  <c r="P125" i="3"/>
  <c r="Q125" i="3" s="1"/>
  <c r="R125" i="3" s="1"/>
  <c r="S125" i="3" s="1"/>
  <c r="Z125" i="3"/>
  <c r="AC125" i="3"/>
  <c r="AD125" i="3"/>
  <c r="AA125" i="3"/>
  <c r="AH34" i="3"/>
  <c r="AG34" i="3"/>
  <c r="U33" i="3"/>
  <c r="D34" i="3" s="1"/>
  <c r="Y32" i="3"/>
  <c r="T125" i="3" l="1"/>
  <c r="P126" i="3"/>
  <c r="Q126" i="3" s="1"/>
  <c r="R126" i="3" s="1"/>
  <c r="S126" i="3" s="1"/>
  <c r="Z126" i="3"/>
  <c r="A127" i="3"/>
  <c r="B127" i="3" s="1"/>
  <c r="AD126" i="3"/>
  <c r="AC126" i="3"/>
  <c r="AA126" i="3"/>
  <c r="G34" i="3"/>
  <c r="E34" i="3"/>
  <c r="H34" i="3" s="1"/>
  <c r="T126" i="3" l="1"/>
  <c r="P127" i="3"/>
  <c r="Q127" i="3" s="1"/>
  <c r="R127" i="3" s="1"/>
  <c r="S127" i="3" s="1"/>
  <c r="AA127" i="3"/>
  <c r="AC127" i="3"/>
  <c r="Z127" i="3"/>
  <c r="AD127" i="3"/>
  <c r="A128" i="3"/>
  <c r="B128" i="3" s="1"/>
  <c r="F34" i="3"/>
  <c r="I34" i="3"/>
  <c r="J34" i="3"/>
  <c r="M34" i="3"/>
  <c r="N34" i="3" s="1"/>
  <c r="K34" i="3"/>
  <c r="T127" i="3" l="1"/>
  <c r="P128" i="3"/>
  <c r="Q128" i="3" s="1"/>
  <c r="R128" i="3" s="1"/>
  <c r="S128" i="3" s="1"/>
  <c r="AA128" i="3"/>
  <c r="A129" i="3"/>
  <c r="B129" i="3" s="1"/>
  <c r="AD128" i="3"/>
  <c r="AC128" i="3"/>
  <c r="Z128" i="3"/>
  <c r="V34" i="3"/>
  <c r="W34" i="3" s="1"/>
  <c r="AE34" i="3"/>
  <c r="L34" i="3"/>
  <c r="T128" i="3" l="1"/>
  <c r="A130" i="3"/>
  <c r="B130" i="3" s="1"/>
  <c r="AD129" i="3"/>
  <c r="AA129" i="3"/>
  <c r="P129" i="3"/>
  <c r="Q129" i="3" s="1"/>
  <c r="R129" i="3" s="1"/>
  <c r="S129" i="3" s="1"/>
  <c r="AC129" i="3"/>
  <c r="Z129" i="3"/>
  <c r="U34" i="3"/>
  <c r="E35" i="3" s="1"/>
  <c r="H35" i="3" s="1"/>
  <c r="AH35" i="3"/>
  <c r="AG35" i="3"/>
  <c r="Y33" i="3"/>
  <c r="T129" i="3" l="1"/>
  <c r="AC130" i="3"/>
  <c r="A131" i="3"/>
  <c r="B131" i="3" s="1"/>
  <c r="P130" i="3"/>
  <c r="Q130" i="3" s="1"/>
  <c r="R130" i="3" s="1"/>
  <c r="S130" i="3" s="1"/>
  <c r="Z130" i="3"/>
  <c r="AA130" i="3"/>
  <c r="AD130" i="3"/>
  <c r="D35" i="3"/>
  <c r="G35" i="3" s="1"/>
  <c r="K35" i="3"/>
  <c r="T130" i="3" l="1"/>
  <c r="A132" i="3"/>
  <c r="B132" i="3" s="1"/>
  <c r="Z131" i="3"/>
  <c r="AD131" i="3"/>
  <c r="P131" i="3"/>
  <c r="Q131" i="3" s="1"/>
  <c r="R131" i="3" s="1"/>
  <c r="S131" i="3" s="1"/>
  <c r="AC131" i="3"/>
  <c r="AA131" i="3"/>
  <c r="F35" i="3"/>
  <c r="I35" i="3"/>
  <c r="J35" i="3"/>
  <c r="M35" i="3"/>
  <c r="N35" i="3" s="1"/>
  <c r="V35" i="3"/>
  <c r="AE35" i="3"/>
  <c r="T131" i="3" l="1"/>
  <c r="AD132" i="3"/>
  <c r="P132" i="3"/>
  <c r="Q132" i="3" s="1"/>
  <c r="R132" i="3" s="1"/>
  <c r="S132" i="3" s="1"/>
  <c r="A133" i="3"/>
  <c r="B133" i="3" s="1"/>
  <c r="AA132" i="3"/>
  <c r="Z132" i="3"/>
  <c r="AC132" i="3"/>
  <c r="W35" i="3"/>
  <c r="L35" i="3"/>
  <c r="T132" i="3" l="1"/>
  <c r="P133" i="3"/>
  <c r="Q133" i="3" s="1"/>
  <c r="R133" i="3" s="1"/>
  <c r="S133" i="3" s="1"/>
  <c r="AC133" i="3"/>
  <c r="AD133" i="3"/>
  <c r="AA133" i="3"/>
  <c r="A134" i="3"/>
  <c r="B134" i="3" s="1"/>
  <c r="Z133" i="3"/>
  <c r="U35" i="3"/>
  <c r="E36" i="3" s="1"/>
  <c r="H36" i="3" s="1"/>
  <c r="AG36" i="3"/>
  <c r="AH36" i="3"/>
  <c r="Y34" i="3"/>
  <c r="T133" i="3" l="1"/>
  <c r="A135" i="3"/>
  <c r="B135" i="3" s="1"/>
  <c r="P134" i="3"/>
  <c r="Q134" i="3" s="1"/>
  <c r="R134" i="3" s="1"/>
  <c r="S134" i="3" s="1"/>
  <c r="AC134" i="3"/>
  <c r="AA134" i="3"/>
  <c r="AD134" i="3"/>
  <c r="Z134" i="3"/>
  <c r="K36" i="3"/>
  <c r="D36" i="3"/>
  <c r="T134" i="3" l="1"/>
  <c r="AC135" i="3"/>
  <c r="Z135" i="3"/>
  <c r="P135" i="3"/>
  <c r="Q135" i="3" s="1"/>
  <c r="R135" i="3" s="1"/>
  <c r="S135" i="3" s="1"/>
  <c r="AD135" i="3"/>
  <c r="A136" i="3"/>
  <c r="B136" i="3" s="1"/>
  <c r="AA135" i="3"/>
  <c r="F36" i="3"/>
  <c r="G36" i="3"/>
  <c r="V36" i="3"/>
  <c r="AE36" i="3"/>
  <c r="T135" i="3" l="1"/>
  <c r="P136" i="3"/>
  <c r="Q136" i="3" s="1"/>
  <c r="R136" i="3" s="1"/>
  <c r="S136" i="3" s="1"/>
  <c r="AD136" i="3"/>
  <c r="A137" i="3"/>
  <c r="B137" i="3" s="1"/>
  <c r="AA136" i="3"/>
  <c r="AC136" i="3"/>
  <c r="Z136" i="3"/>
  <c r="I36" i="3"/>
  <c r="W36" i="3" s="1"/>
  <c r="J36" i="3"/>
  <c r="M36" i="3"/>
  <c r="N36" i="3" s="1"/>
  <c r="T136" i="3" l="1"/>
  <c r="AC137" i="3"/>
  <c r="A138" i="3"/>
  <c r="B138" i="3" s="1"/>
  <c r="Z137" i="3"/>
  <c r="AD137" i="3"/>
  <c r="AA137" i="3"/>
  <c r="P137" i="3"/>
  <c r="Q137" i="3" s="1"/>
  <c r="R137" i="3" s="1"/>
  <c r="S137" i="3" s="1"/>
  <c r="L36" i="3"/>
  <c r="T137" i="3" l="1"/>
  <c r="AD138" i="3"/>
  <c r="AC138" i="3"/>
  <c r="AA138" i="3"/>
  <c r="P138" i="3"/>
  <c r="Q138" i="3" s="1"/>
  <c r="R138" i="3" s="1"/>
  <c r="S138" i="3" s="1"/>
  <c r="Z138" i="3"/>
  <c r="A139" i="3"/>
  <c r="B139" i="3" s="1"/>
  <c r="AH37" i="3"/>
  <c r="AG37" i="3"/>
  <c r="U36" i="3"/>
  <c r="E37" i="3" s="1"/>
  <c r="H37" i="3" s="1"/>
  <c r="Y35" i="3"/>
  <c r="T138" i="3" l="1"/>
  <c r="P139" i="3"/>
  <c r="Q139" i="3" s="1"/>
  <c r="R139" i="3" s="1"/>
  <c r="S139" i="3" s="1"/>
  <c r="A140" i="3"/>
  <c r="B140" i="3" s="1"/>
  <c r="AC139" i="3"/>
  <c r="Z139" i="3"/>
  <c r="AA139" i="3"/>
  <c r="AD139" i="3"/>
  <c r="D37" i="3"/>
  <c r="G37" i="3" s="1"/>
  <c r="K37" i="3"/>
  <c r="T139" i="3" l="1"/>
  <c r="P140" i="3"/>
  <c r="Q140" i="3" s="1"/>
  <c r="R140" i="3" s="1"/>
  <c r="S140" i="3" s="1"/>
  <c r="A141" i="3"/>
  <c r="B141" i="3" s="1"/>
  <c r="AA140" i="3"/>
  <c r="AC140" i="3"/>
  <c r="Z140" i="3"/>
  <c r="AD140" i="3"/>
  <c r="F37" i="3"/>
  <c r="I37" i="3"/>
  <c r="J37" i="3"/>
  <c r="M37" i="3"/>
  <c r="N37" i="3" s="1"/>
  <c r="V37" i="3"/>
  <c r="AE37" i="3"/>
  <c r="T140" i="3" l="1"/>
  <c r="P141" i="3"/>
  <c r="Q141" i="3" s="1"/>
  <c r="R141" i="3" s="1"/>
  <c r="S141" i="3" s="1"/>
  <c r="AC141" i="3"/>
  <c r="AD141" i="3"/>
  <c r="AA141" i="3"/>
  <c r="A142" i="3"/>
  <c r="B142" i="3" s="1"/>
  <c r="Z141" i="3"/>
  <c r="W37" i="3"/>
  <c r="L37" i="3"/>
  <c r="T141" i="3" l="1"/>
  <c r="AD142" i="3"/>
  <c r="AA142" i="3"/>
  <c r="AC142" i="3"/>
  <c r="Z142" i="3"/>
  <c r="A143" i="3"/>
  <c r="B143" i="3" s="1"/>
  <c r="P142" i="3"/>
  <c r="Q142" i="3" s="1"/>
  <c r="R142" i="3" s="1"/>
  <c r="S142" i="3" s="1"/>
  <c r="AH38" i="3"/>
  <c r="AG38" i="3"/>
  <c r="U37" i="3"/>
  <c r="D38" i="3" s="1"/>
  <c r="Y36" i="3"/>
  <c r="T142" i="3" l="1"/>
  <c r="AC143" i="3"/>
  <c r="A144" i="3"/>
  <c r="B144" i="3" s="1"/>
  <c r="Z143" i="3"/>
  <c r="AA143" i="3"/>
  <c r="AD143" i="3"/>
  <c r="P143" i="3"/>
  <c r="Q143" i="3" s="1"/>
  <c r="R143" i="3" s="1"/>
  <c r="S143" i="3" s="1"/>
  <c r="G38" i="3"/>
  <c r="E38" i="3"/>
  <c r="H38" i="3" s="1"/>
  <c r="T143" i="3" l="1"/>
  <c r="AC144" i="3"/>
  <c r="P144" i="3"/>
  <c r="Q144" i="3" s="1"/>
  <c r="R144" i="3" s="1"/>
  <c r="S144" i="3" s="1"/>
  <c r="A145" i="3"/>
  <c r="B145" i="3" s="1"/>
  <c r="Z144" i="3"/>
  <c r="AA144" i="3"/>
  <c r="AD144" i="3"/>
  <c r="K38" i="3"/>
  <c r="F38" i="3"/>
  <c r="I38" i="3"/>
  <c r="J38" i="3"/>
  <c r="M38" i="3"/>
  <c r="N38" i="3" s="1"/>
  <c r="T144" i="3" l="1"/>
  <c r="Z145" i="3"/>
  <c r="AC145" i="3"/>
  <c r="A146" i="3"/>
  <c r="B146" i="3" s="1"/>
  <c r="AA145" i="3"/>
  <c r="AD145" i="3"/>
  <c r="P145" i="3"/>
  <c r="Q145" i="3" s="1"/>
  <c r="R145" i="3" s="1"/>
  <c r="S145" i="3" s="1"/>
  <c r="L38" i="3"/>
  <c r="V38" i="3"/>
  <c r="W38" i="3" s="1"/>
  <c r="AE38" i="3"/>
  <c r="T145" i="3" l="1"/>
  <c r="Z146" i="3"/>
  <c r="AA146" i="3"/>
  <c r="P146" i="3"/>
  <c r="Q146" i="3" s="1"/>
  <c r="R146" i="3" s="1"/>
  <c r="S146" i="3" s="1"/>
  <c r="AD146" i="3"/>
  <c r="A147" i="3"/>
  <c r="B147" i="3" s="1"/>
  <c r="AC146" i="3"/>
  <c r="U38" i="3"/>
  <c r="D39" i="3" s="1"/>
  <c r="AG39" i="3"/>
  <c r="AH39" i="3"/>
  <c r="Y37" i="3"/>
  <c r="T146" i="3" l="1"/>
  <c r="AC147" i="3"/>
  <c r="AD147" i="3"/>
  <c r="P147" i="3"/>
  <c r="Q147" i="3" s="1"/>
  <c r="R147" i="3" s="1"/>
  <c r="S147" i="3" s="1"/>
  <c r="A148" i="3"/>
  <c r="B148" i="3" s="1"/>
  <c r="AA147" i="3"/>
  <c r="Z147" i="3"/>
  <c r="G39" i="3"/>
  <c r="E39" i="3"/>
  <c r="H39" i="3" s="1"/>
  <c r="T147" i="3" l="1"/>
  <c r="P148" i="3"/>
  <c r="Q148" i="3" s="1"/>
  <c r="R148" i="3" s="1"/>
  <c r="S148" i="3" s="1"/>
  <c r="AA148" i="3"/>
  <c r="Z148" i="3"/>
  <c r="AD148" i="3"/>
  <c r="AC148" i="3"/>
  <c r="A149" i="3"/>
  <c r="B149" i="3" s="1"/>
  <c r="F39" i="3"/>
  <c r="K39" i="3"/>
  <c r="I39" i="3"/>
  <c r="J39" i="3"/>
  <c r="M39" i="3"/>
  <c r="N39" i="3" s="1"/>
  <c r="T148" i="3" l="1"/>
  <c r="AC149" i="3"/>
  <c r="AA149" i="3"/>
  <c r="AD149" i="3"/>
  <c r="Z149" i="3"/>
  <c r="A150" i="3"/>
  <c r="B150" i="3" s="1"/>
  <c r="P149" i="3"/>
  <c r="Q149" i="3" s="1"/>
  <c r="R149" i="3" s="1"/>
  <c r="S149" i="3" s="1"/>
  <c r="L39" i="3"/>
  <c r="V39" i="3"/>
  <c r="W39" i="3" s="1"/>
  <c r="AE39" i="3"/>
  <c r="T149" i="3" l="1"/>
  <c r="P150" i="3"/>
  <c r="Q150" i="3" s="1"/>
  <c r="R150" i="3" s="1"/>
  <c r="S150" i="3" s="1"/>
  <c r="AD150" i="3"/>
  <c r="A151" i="3"/>
  <c r="B151" i="3" s="1"/>
  <c r="AA150" i="3"/>
  <c r="AC150" i="3"/>
  <c r="Z150" i="3"/>
  <c r="U39" i="3"/>
  <c r="E40" i="3" s="1"/>
  <c r="H40" i="3" s="1"/>
  <c r="AH40" i="3"/>
  <c r="AG40" i="3"/>
  <c r="Y38" i="3"/>
  <c r="T150" i="3" l="1"/>
  <c r="AD151" i="3"/>
  <c r="A152" i="3"/>
  <c r="B152" i="3" s="1"/>
  <c r="P151" i="3"/>
  <c r="Q151" i="3" s="1"/>
  <c r="R151" i="3" s="1"/>
  <c r="S151" i="3" s="1"/>
  <c r="Z151" i="3"/>
  <c r="AA151" i="3"/>
  <c r="AC151" i="3"/>
  <c r="D40" i="3"/>
  <c r="F40" i="3" s="1"/>
  <c r="K40" i="3"/>
  <c r="T151" i="3" l="1"/>
  <c r="P152" i="3"/>
  <c r="Q152" i="3" s="1"/>
  <c r="R152" i="3" s="1"/>
  <c r="S152" i="3" s="1"/>
  <c r="A153" i="3"/>
  <c r="B153" i="3" s="1"/>
  <c r="AC152" i="3"/>
  <c r="AA152" i="3"/>
  <c r="Z152" i="3"/>
  <c r="AD152" i="3"/>
  <c r="G40" i="3"/>
  <c r="M40" i="3" s="1"/>
  <c r="N40" i="3" s="1"/>
  <c r="V40" i="3"/>
  <c r="AE40" i="3"/>
  <c r="T152" i="3" l="1"/>
  <c r="P153" i="3"/>
  <c r="Q153" i="3" s="1"/>
  <c r="R153" i="3" s="1"/>
  <c r="S153" i="3" s="1"/>
  <c r="AA153" i="3"/>
  <c r="A154" i="3"/>
  <c r="B154" i="3" s="1"/>
  <c r="Z153" i="3"/>
  <c r="AC153" i="3"/>
  <c r="AD153" i="3"/>
  <c r="I40" i="3"/>
  <c r="W40" i="3" s="1"/>
  <c r="J40" i="3"/>
  <c r="L40" i="3" s="1"/>
  <c r="T153" i="3" l="1"/>
  <c r="AD154" i="3"/>
  <c r="AC154" i="3"/>
  <c r="P154" i="3"/>
  <c r="Q154" i="3" s="1"/>
  <c r="R154" i="3" s="1"/>
  <c r="S154" i="3" s="1"/>
  <c r="A155" i="3"/>
  <c r="B155" i="3" s="1"/>
  <c r="Z154" i="3"/>
  <c r="AA154" i="3"/>
  <c r="U40" i="3"/>
  <c r="D41" i="3" s="1"/>
  <c r="AG41" i="3"/>
  <c r="AH41" i="3"/>
  <c r="Y39" i="3"/>
  <c r="T154" i="3" l="1"/>
  <c r="Z155" i="3"/>
  <c r="A156" i="3"/>
  <c r="B156" i="3" s="1"/>
  <c r="AD155" i="3"/>
  <c r="P155" i="3"/>
  <c r="Q155" i="3" s="1"/>
  <c r="R155" i="3" s="1"/>
  <c r="S155" i="3" s="1"/>
  <c r="AA155" i="3"/>
  <c r="AC155" i="3"/>
  <c r="G41" i="3"/>
  <c r="E41" i="3"/>
  <c r="H41" i="3" s="1"/>
  <c r="T155" i="3" l="1"/>
  <c r="AD156" i="3"/>
  <c r="Z156" i="3"/>
  <c r="AC156" i="3"/>
  <c r="P156" i="3"/>
  <c r="Q156" i="3" s="1"/>
  <c r="R156" i="3" s="1"/>
  <c r="S156" i="3" s="1"/>
  <c r="AA156" i="3"/>
  <c r="A157" i="3"/>
  <c r="B157" i="3" s="1"/>
  <c r="F41" i="3"/>
  <c r="I41" i="3"/>
  <c r="J41" i="3"/>
  <c r="M41" i="3"/>
  <c r="N41" i="3" s="1"/>
  <c r="K41" i="3"/>
  <c r="T156" i="3" l="1"/>
  <c r="AA157" i="3"/>
  <c r="P157" i="3"/>
  <c r="Q157" i="3" s="1"/>
  <c r="R157" i="3" s="1"/>
  <c r="S157" i="3" s="1"/>
  <c r="AC157" i="3"/>
  <c r="AD157" i="3"/>
  <c r="A158" i="3"/>
  <c r="B158" i="3" s="1"/>
  <c r="Z157" i="3"/>
  <c r="V41" i="3"/>
  <c r="W41" i="3" s="1"/>
  <c r="AE41" i="3"/>
  <c r="L41" i="3"/>
  <c r="T157" i="3" l="1"/>
  <c r="AD158" i="3"/>
  <c r="AA158" i="3"/>
  <c r="Z158" i="3"/>
  <c r="P158" i="3"/>
  <c r="Q158" i="3" s="1"/>
  <c r="R158" i="3" s="1"/>
  <c r="S158" i="3" s="1"/>
  <c r="A159" i="3"/>
  <c r="B159" i="3" s="1"/>
  <c r="AC158" i="3"/>
  <c r="U41" i="3"/>
  <c r="E42" i="3" s="1"/>
  <c r="H42" i="3" s="1"/>
  <c r="AG42" i="3"/>
  <c r="AH42" i="3"/>
  <c r="Y40" i="3"/>
  <c r="T158" i="3" l="1"/>
  <c r="AA159" i="3"/>
  <c r="A160" i="3"/>
  <c r="B160" i="3" s="1"/>
  <c r="AC159" i="3"/>
  <c r="AD159" i="3"/>
  <c r="Z159" i="3"/>
  <c r="P159" i="3"/>
  <c r="Q159" i="3" s="1"/>
  <c r="R159" i="3" s="1"/>
  <c r="S159" i="3" s="1"/>
  <c r="D42" i="3"/>
  <c r="G42" i="3" s="1"/>
  <c r="K42" i="3"/>
  <c r="T159" i="3" l="1"/>
  <c r="AC160" i="3"/>
  <c r="AA160" i="3"/>
  <c r="AD160" i="3"/>
  <c r="A161" i="3"/>
  <c r="B161" i="3" s="1"/>
  <c r="P160" i="3"/>
  <c r="Q160" i="3" s="1"/>
  <c r="R160" i="3" s="1"/>
  <c r="S160" i="3" s="1"/>
  <c r="Z160" i="3"/>
  <c r="F42" i="3"/>
  <c r="V42" i="3"/>
  <c r="AE42" i="3"/>
  <c r="I42" i="3"/>
  <c r="J42" i="3"/>
  <c r="M42" i="3"/>
  <c r="N42" i="3" s="1"/>
  <c r="T160" i="3" l="1"/>
  <c r="AA161" i="3"/>
  <c r="P161" i="3"/>
  <c r="Q161" i="3" s="1"/>
  <c r="R161" i="3" s="1"/>
  <c r="S161" i="3" s="1"/>
  <c r="AD161" i="3"/>
  <c r="Z161" i="3"/>
  <c r="A162" i="3"/>
  <c r="B162" i="3" s="1"/>
  <c r="AC161" i="3"/>
  <c r="W42" i="3"/>
  <c r="L42" i="3"/>
  <c r="T161" i="3" l="1"/>
  <c r="Z162" i="3"/>
  <c r="AA162" i="3"/>
  <c r="AC162" i="3"/>
  <c r="A163" i="3"/>
  <c r="B163" i="3" s="1"/>
  <c r="P162" i="3"/>
  <c r="Q162" i="3" s="1"/>
  <c r="R162" i="3" s="1"/>
  <c r="S162" i="3" s="1"/>
  <c r="AD162" i="3"/>
  <c r="AG43" i="3"/>
  <c r="AH43" i="3"/>
  <c r="U42" i="3"/>
  <c r="E43" i="3" s="1"/>
  <c r="H43" i="3" s="1"/>
  <c r="Y41" i="3"/>
  <c r="T162" i="3" l="1"/>
  <c r="P163" i="3"/>
  <c r="Q163" i="3" s="1"/>
  <c r="R163" i="3" s="1"/>
  <c r="S163" i="3" s="1"/>
  <c r="AA163" i="3"/>
  <c r="A164" i="3"/>
  <c r="B164" i="3" s="1"/>
  <c r="AC163" i="3"/>
  <c r="Z163" i="3"/>
  <c r="AD163" i="3"/>
  <c r="K43" i="3"/>
  <c r="D43" i="3"/>
  <c r="T163" i="3" l="1"/>
  <c r="AD164" i="3"/>
  <c r="AC164" i="3"/>
  <c r="P164" i="3"/>
  <c r="Q164" i="3" s="1"/>
  <c r="R164" i="3" s="1"/>
  <c r="S164" i="3" s="1"/>
  <c r="Z164" i="3"/>
  <c r="AA164" i="3"/>
  <c r="A165" i="3"/>
  <c r="B165" i="3" s="1"/>
  <c r="V43" i="3"/>
  <c r="AE43" i="3"/>
  <c r="F43" i="3"/>
  <c r="G43" i="3"/>
  <c r="T164" i="3" l="1"/>
  <c r="AD165" i="3"/>
  <c r="A166" i="3"/>
  <c r="B166" i="3" s="1"/>
  <c r="AA165" i="3"/>
  <c r="AC165" i="3"/>
  <c r="P165" i="3"/>
  <c r="Q165" i="3" s="1"/>
  <c r="R165" i="3" s="1"/>
  <c r="S165" i="3" s="1"/>
  <c r="Z165" i="3"/>
  <c r="I43" i="3"/>
  <c r="W43" i="3" s="1"/>
  <c r="J43" i="3"/>
  <c r="M43" i="3"/>
  <c r="N43" i="3" s="1"/>
  <c r="T165" i="3" l="1"/>
  <c r="AA166" i="3"/>
  <c r="AD166" i="3"/>
  <c r="Z166" i="3"/>
  <c r="A167" i="3"/>
  <c r="B167" i="3" s="1"/>
  <c r="P166" i="3"/>
  <c r="Q166" i="3" s="1"/>
  <c r="R166" i="3" s="1"/>
  <c r="S166" i="3" s="1"/>
  <c r="AC166" i="3"/>
  <c r="L43" i="3"/>
  <c r="T166" i="3" l="1"/>
  <c r="AA167" i="3"/>
  <c r="Z167" i="3"/>
  <c r="A168" i="3"/>
  <c r="B168" i="3" s="1"/>
  <c r="AD167" i="3"/>
  <c r="P167" i="3"/>
  <c r="Q167" i="3" s="1"/>
  <c r="R167" i="3" s="1"/>
  <c r="S167" i="3" s="1"/>
  <c r="AC167" i="3"/>
  <c r="AG44" i="3"/>
  <c r="AH44" i="3"/>
  <c r="U43" i="3"/>
  <c r="E44" i="3" s="1"/>
  <c r="H44" i="3" s="1"/>
  <c r="Y42" i="3"/>
  <c r="T167" i="3" l="1"/>
  <c r="P168" i="3"/>
  <c r="Q168" i="3" s="1"/>
  <c r="R168" i="3" s="1"/>
  <c r="S168" i="3" s="1"/>
  <c r="AD168" i="3"/>
  <c r="AA168" i="3"/>
  <c r="A169" i="3"/>
  <c r="B169" i="3" s="1"/>
  <c r="Z168" i="3"/>
  <c r="AC168" i="3"/>
  <c r="D44" i="3"/>
  <c r="F44" i="3" s="1"/>
  <c r="K44" i="3"/>
  <c r="T168" i="3" l="1"/>
  <c r="Z169" i="3"/>
  <c r="P169" i="3"/>
  <c r="Q169" i="3" s="1"/>
  <c r="R169" i="3" s="1"/>
  <c r="S169" i="3" s="1"/>
  <c r="AD169" i="3"/>
  <c r="A170" i="3"/>
  <c r="B170" i="3" s="1"/>
  <c r="AA169" i="3"/>
  <c r="AC169" i="3"/>
  <c r="G44" i="3"/>
  <c r="J44" i="3" s="1"/>
  <c r="V44" i="3"/>
  <c r="AE44" i="3"/>
  <c r="T169" i="3" l="1"/>
  <c r="AC170" i="3"/>
  <c r="AD170" i="3"/>
  <c r="P170" i="3"/>
  <c r="Q170" i="3" s="1"/>
  <c r="R170" i="3" s="1"/>
  <c r="S170" i="3" s="1"/>
  <c r="AA170" i="3"/>
  <c r="A171" i="3"/>
  <c r="B171" i="3" s="1"/>
  <c r="Z170" i="3"/>
  <c r="M44" i="3"/>
  <c r="N44" i="3" s="1"/>
  <c r="I44" i="3"/>
  <c r="W44" i="3" s="1"/>
  <c r="L44" i="3"/>
  <c r="T170" i="3" l="1"/>
  <c r="AC171" i="3"/>
  <c r="AD171" i="3"/>
  <c r="Z171" i="3"/>
  <c r="A172" i="3"/>
  <c r="B172" i="3" s="1"/>
  <c r="P171" i="3"/>
  <c r="Q171" i="3" s="1"/>
  <c r="R171" i="3" s="1"/>
  <c r="S171" i="3" s="1"/>
  <c r="AA171" i="3"/>
  <c r="U44" i="3"/>
  <c r="E45" i="3" s="1"/>
  <c r="H45" i="3" s="1"/>
  <c r="AH45" i="3"/>
  <c r="AG45" i="3"/>
  <c r="Y43" i="3"/>
  <c r="T171" i="3" l="1"/>
  <c r="A173" i="3"/>
  <c r="B173" i="3" s="1"/>
  <c r="AD172" i="3"/>
  <c r="AC172" i="3"/>
  <c r="AA172" i="3"/>
  <c r="P172" i="3"/>
  <c r="Q172" i="3" s="1"/>
  <c r="R172" i="3" s="1"/>
  <c r="S172" i="3" s="1"/>
  <c r="Z172" i="3"/>
  <c r="D45" i="3"/>
  <c r="G45" i="3" s="1"/>
  <c r="K45" i="3"/>
  <c r="T172" i="3" l="1"/>
  <c r="AD173" i="3"/>
  <c r="A174" i="3"/>
  <c r="B174" i="3" s="1"/>
  <c r="Z173" i="3"/>
  <c r="AC173" i="3"/>
  <c r="P173" i="3"/>
  <c r="Q173" i="3" s="1"/>
  <c r="R173" i="3" s="1"/>
  <c r="S173" i="3" s="1"/>
  <c r="AA173" i="3"/>
  <c r="F45" i="3"/>
  <c r="I45" i="3"/>
  <c r="J45" i="3"/>
  <c r="M45" i="3"/>
  <c r="N45" i="3" s="1"/>
  <c r="V45" i="3"/>
  <c r="AE45" i="3"/>
  <c r="T173" i="3" l="1"/>
  <c r="A175" i="3"/>
  <c r="B175" i="3" s="1"/>
  <c r="AA174" i="3"/>
  <c r="Z174" i="3"/>
  <c r="P174" i="3"/>
  <c r="Q174" i="3" s="1"/>
  <c r="R174" i="3" s="1"/>
  <c r="S174" i="3" s="1"/>
  <c r="AC174" i="3"/>
  <c r="AD174" i="3"/>
  <c r="L45" i="3"/>
  <c r="W45" i="3"/>
  <c r="T174" i="3" l="1"/>
  <c r="A176" i="3"/>
  <c r="B176" i="3" s="1"/>
  <c r="AC175" i="3"/>
  <c r="AD175" i="3"/>
  <c r="Z175" i="3"/>
  <c r="P175" i="3"/>
  <c r="Q175" i="3" s="1"/>
  <c r="R175" i="3" s="1"/>
  <c r="S175" i="3" s="1"/>
  <c r="AA175" i="3"/>
  <c r="U45" i="3"/>
  <c r="D46" i="3" s="1"/>
  <c r="AG46" i="3"/>
  <c r="AH46" i="3"/>
  <c r="Y44" i="3"/>
  <c r="T175" i="3" l="1"/>
  <c r="AD176" i="3"/>
  <c r="Z176" i="3"/>
  <c r="P176" i="3"/>
  <c r="Q176" i="3" s="1"/>
  <c r="R176" i="3" s="1"/>
  <c r="S176" i="3" s="1"/>
  <c r="AC176" i="3"/>
  <c r="AA176" i="3"/>
  <c r="A177" i="3"/>
  <c r="B177" i="3" s="1"/>
  <c r="E46" i="3"/>
  <c r="H46" i="3" s="1"/>
  <c r="K46" i="3" s="1"/>
  <c r="G46" i="3"/>
  <c r="T176" i="3" l="1"/>
  <c r="P177" i="3"/>
  <c r="Q177" i="3" s="1"/>
  <c r="R177" i="3" s="1"/>
  <c r="S177" i="3" s="1"/>
  <c r="AC177" i="3"/>
  <c r="AA177" i="3"/>
  <c r="AD177" i="3"/>
  <c r="Z177" i="3"/>
  <c r="A178" i="3"/>
  <c r="B178" i="3" s="1"/>
  <c r="F46" i="3"/>
  <c r="I46" i="3"/>
  <c r="J46" i="3"/>
  <c r="M46" i="3"/>
  <c r="N46" i="3" s="1"/>
  <c r="V46" i="3"/>
  <c r="AE46" i="3"/>
  <c r="T177" i="3" l="1"/>
  <c r="A179" i="3"/>
  <c r="B179" i="3" s="1"/>
  <c r="Z178" i="3"/>
  <c r="AC178" i="3"/>
  <c r="P178" i="3"/>
  <c r="Q178" i="3" s="1"/>
  <c r="R178" i="3" s="1"/>
  <c r="S178" i="3" s="1"/>
  <c r="AD178" i="3"/>
  <c r="AA178" i="3"/>
  <c r="W46" i="3"/>
  <c r="L46" i="3"/>
  <c r="T178" i="3" l="1"/>
  <c r="Z179" i="3"/>
  <c r="AA179" i="3"/>
  <c r="AC179" i="3"/>
  <c r="A180" i="3"/>
  <c r="B180" i="3" s="1"/>
  <c r="P179" i="3"/>
  <c r="Q179" i="3" s="1"/>
  <c r="R179" i="3" s="1"/>
  <c r="S179" i="3" s="1"/>
  <c r="AD179" i="3"/>
  <c r="AG47" i="3"/>
  <c r="U46" i="3"/>
  <c r="D47" i="3" s="1"/>
  <c r="AH47" i="3"/>
  <c r="Y45" i="3"/>
  <c r="T179" i="3" l="1"/>
  <c r="A181" i="3"/>
  <c r="B181" i="3" s="1"/>
  <c r="AD180" i="3"/>
  <c r="Z180" i="3"/>
  <c r="AC180" i="3"/>
  <c r="AA180" i="3"/>
  <c r="P180" i="3"/>
  <c r="Q180" i="3" s="1"/>
  <c r="R180" i="3" s="1"/>
  <c r="S180" i="3" s="1"/>
  <c r="E47" i="3"/>
  <c r="H47" i="3" s="1"/>
  <c r="K47" i="3" s="1"/>
  <c r="G47" i="3"/>
  <c r="T180" i="3" l="1"/>
  <c r="AA181" i="3"/>
  <c r="A182" i="3"/>
  <c r="B182" i="3" s="1"/>
  <c r="AD181" i="3"/>
  <c r="Z181" i="3"/>
  <c r="P181" i="3"/>
  <c r="Q181" i="3" s="1"/>
  <c r="R181" i="3" s="1"/>
  <c r="S181" i="3" s="1"/>
  <c r="AC181" i="3"/>
  <c r="F47" i="3"/>
  <c r="I47" i="3"/>
  <c r="J47" i="3"/>
  <c r="M47" i="3"/>
  <c r="N47" i="3" s="1"/>
  <c r="V47" i="3"/>
  <c r="AE47" i="3"/>
  <c r="T181" i="3" l="1"/>
  <c r="A183" i="3"/>
  <c r="B183" i="3" s="1"/>
  <c r="Z182" i="3"/>
  <c r="P182" i="3"/>
  <c r="Q182" i="3" s="1"/>
  <c r="R182" i="3" s="1"/>
  <c r="S182" i="3" s="1"/>
  <c r="AC182" i="3"/>
  <c r="AA182" i="3"/>
  <c r="AD182" i="3"/>
  <c r="W47" i="3"/>
  <c r="L47" i="3"/>
  <c r="T182" i="3" l="1"/>
  <c r="AD183" i="3"/>
  <c r="AA183" i="3"/>
  <c r="P183" i="3"/>
  <c r="Q183" i="3" s="1"/>
  <c r="R183" i="3" s="1"/>
  <c r="S183" i="3" s="1"/>
  <c r="A184" i="3"/>
  <c r="B184" i="3" s="1"/>
  <c r="Z183" i="3"/>
  <c r="AC183" i="3"/>
  <c r="AG48" i="3"/>
  <c r="U47" i="3"/>
  <c r="E48" i="3" s="1"/>
  <c r="H48" i="3" s="1"/>
  <c r="AH48" i="3"/>
  <c r="Y46" i="3"/>
  <c r="T183" i="3" l="1"/>
  <c r="AD184" i="3"/>
  <c r="A185" i="3"/>
  <c r="B185" i="3" s="1"/>
  <c r="Z184" i="3"/>
  <c r="AC184" i="3"/>
  <c r="P184" i="3"/>
  <c r="Q184" i="3" s="1"/>
  <c r="R184" i="3" s="1"/>
  <c r="S184" i="3" s="1"/>
  <c r="AA184" i="3"/>
  <c r="K48" i="3"/>
  <c r="D48" i="3"/>
  <c r="T184" i="3" l="1"/>
  <c r="A186" i="3"/>
  <c r="B186" i="3" s="1"/>
  <c r="P185" i="3"/>
  <c r="Q185" i="3" s="1"/>
  <c r="R185" i="3" s="1"/>
  <c r="S185" i="3" s="1"/>
  <c r="AC185" i="3"/>
  <c r="AD185" i="3"/>
  <c r="AA185" i="3"/>
  <c r="Z185" i="3"/>
  <c r="V48" i="3"/>
  <c r="AE48" i="3"/>
  <c r="F48" i="3"/>
  <c r="G48" i="3"/>
  <c r="T185" i="3" l="1"/>
  <c r="Z186" i="3"/>
  <c r="P186" i="3"/>
  <c r="Q186" i="3" s="1"/>
  <c r="R186" i="3" s="1"/>
  <c r="S186" i="3" s="1"/>
  <c r="AC186" i="3"/>
  <c r="AD186" i="3"/>
  <c r="AA186" i="3"/>
  <c r="A187" i="3"/>
  <c r="B187" i="3" s="1"/>
  <c r="I48" i="3"/>
  <c r="W48" i="3" s="1"/>
  <c r="J48" i="3"/>
  <c r="M48" i="3"/>
  <c r="N48" i="3" s="1"/>
  <c r="T186" i="3" l="1"/>
  <c r="AA187" i="3"/>
  <c r="AD187" i="3"/>
  <c r="AC187" i="3"/>
  <c r="A188" i="3"/>
  <c r="B188" i="3" s="1"/>
  <c r="Z187" i="3"/>
  <c r="P187" i="3"/>
  <c r="Q187" i="3" s="1"/>
  <c r="R187" i="3" s="1"/>
  <c r="S187" i="3" s="1"/>
  <c r="L48" i="3"/>
  <c r="T187" i="3" l="1"/>
  <c r="AD188" i="3"/>
  <c r="AA188" i="3"/>
  <c r="Z188" i="3"/>
  <c r="P188" i="3"/>
  <c r="Q188" i="3" s="1"/>
  <c r="R188" i="3" s="1"/>
  <c r="S188" i="3" s="1"/>
  <c r="A189" i="3"/>
  <c r="B189" i="3" s="1"/>
  <c r="AC188" i="3"/>
  <c r="AH49" i="3"/>
  <c r="U48" i="3"/>
  <c r="E49" i="3" s="1"/>
  <c r="H49" i="3" s="1"/>
  <c r="AG49" i="3"/>
  <c r="Y47" i="3"/>
  <c r="T188" i="3" l="1"/>
  <c r="P189" i="3"/>
  <c r="Q189" i="3" s="1"/>
  <c r="R189" i="3" s="1"/>
  <c r="S189" i="3" s="1"/>
  <c r="A190" i="3"/>
  <c r="B190" i="3" s="1"/>
  <c r="AA189" i="3"/>
  <c r="AC189" i="3"/>
  <c r="Z189" i="3"/>
  <c r="AD189" i="3"/>
  <c r="D49" i="3"/>
  <c r="G49" i="3" s="1"/>
  <c r="K49" i="3"/>
  <c r="T189" i="3" l="1"/>
  <c r="AA190" i="3"/>
  <c r="A191" i="3"/>
  <c r="B191" i="3" s="1"/>
  <c r="AD190" i="3"/>
  <c r="P190" i="3"/>
  <c r="Q190" i="3" s="1"/>
  <c r="R190" i="3" s="1"/>
  <c r="S190" i="3" s="1"/>
  <c r="Z190" i="3"/>
  <c r="AC190" i="3"/>
  <c r="F49" i="3"/>
  <c r="V49" i="3"/>
  <c r="AE49" i="3"/>
  <c r="I49" i="3"/>
  <c r="J49" i="3"/>
  <c r="M49" i="3"/>
  <c r="N49" i="3" s="1"/>
  <c r="T190" i="3" l="1"/>
  <c r="P191" i="3"/>
  <c r="Q191" i="3" s="1"/>
  <c r="R191" i="3" s="1"/>
  <c r="S191" i="3" s="1"/>
  <c r="AA191" i="3"/>
  <c r="AC191" i="3"/>
  <c r="Z191" i="3"/>
  <c r="AD191" i="3"/>
  <c r="A192" i="3"/>
  <c r="B192" i="3" s="1"/>
  <c r="W49" i="3"/>
  <c r="L49" i="3"/>
  <c r="T191" i="3" l="1"/>
  <c r="Z192" i="3"/>
  <c r="AD192" i="3"/>
  <c r="AC192" i="3"/>
  <c r="P192" i="3"/>
  <c r="Q192" i="3" s="1"/>
  <c r="R192" i="3" s="1"/>
  <c r="S192" i="3" s="1"/>
  <c r="A193" i="3"/>
  <c r="B193" i="3" s="1"/>
  <c r="AA192" i="3"/>
  <c r="AG50" i="3"/>
  <c r="AH50" i="3"/>
  <c r="U49" i="3"/>
  <c r="D50" i="3" s="1"/>
  <c r="Y48" i="3"/>
  <c r="T192" i="3" l="1"/>
  <c r="AA193" i="3"/>
  <c r="A194" i="3"/>
  <c r="B194" i="3" s="1"/>
  <c r="Z193" i="3"/>
  <c r="P193" i="3"/>
  <c r="Q193" i="3" s="1"/>
  <c r="R193" i="3" s="1"/>
  <c r="S193" i="3" s="1"/>
  <c r="AD193" i="3"/>
  <c r="AC193" i="3"/>
  <c r="E50" i="3"/>
  <c r="H50" i="3" s="1"/>
  <c r="K50" i="3" s="1"/>
  <c r="G50" i="3"/>
  <c r="T193" i="3" l="1"/>
  <c r="AD194" i="3"/>
  <c r="AC194" i="3"/>
  <c r="P194" i="3"/>
  <c r="Q194" i="3" s="1"/>
  <c r="R194" i="3" s="1"/>
  <c r="S194" i="3" s="1"/>
  <c r="A195" i="3"/>
  <c r="B195" i="3" s="1"/>
  <c r="Z194" i="3"/>
  <c r="AA194" i="3"/>
  <c r="F50" i="3"/>
  <c r="I50" i="3"/>
  <c r="J50" i="3"/>
  <c r="M50" i="3"/>
  <c r="N50" i="3" s="1"/>
  <c r="V50" i="3"/>
  <c r="AE50" i="3"/>
  <c r="T194" i="3" l="1"/>
  <c r="AC195" i="3"/>
  <c r="AD195" i="3"/>
  <c r="Z195" i="3"/>
  <c r="A196" i="3"/>
  <c r="B196" i="3" s="1"/>
  <c r="P195" i="3"/>
  <c r="Q195" i="3" s="1"/>
  <c r="R195" i="3" s="1"/>
  <c r="S195" i="3" s="1"/>
  <c r="AA195" i="3"/>
  <c r="L50" i="3"/>
  <c r="W50" i="3"/>
  <c r="T195" i="3" l="1"/>
  <c r="P196" i="3"/>
  <c r="Q196" i="3" s="1"/>
  <c r="R196" i="3" s="1"/>
  <c r="S196" i="3" s="1"/>
  <c r="AC196" i="3"/>
  <c r="Z196" i="3"/>
  <c r="AD196" i="3"/>
  <c r="A197" i="3"/>
  <c r="B197" i="3" s="1"/>
  <c r="AA196" i="3"/>
  <c r="U50" i="3"/>
  <c r="D51" i="3" s="1"/>
  <c r="AH51" i="3"/>
  <c r="AG51" i="3"/>
  <c r="Y49" i="3"/>
  <c r="T196" i="3" l="1"/>
  <c r="AC197" i="3"/>
  <c r="AA197" i="3"/>
  <c r="AD197" i="3"/>
  <c r="Z197" i="3"/>
  <c r="A198" i="3"/>
  <c r="B198" i="3" s="1"/>
  <c r="P197" i="3"/>
  <c r="Q197" i="3" s="1"/>
  <c r="R197" i="3" s="1"/>
  <c r="S197" i="3" s="1"/>
  <c r="E51" i="3"/>
  <c r="H51" i="3" s="1"/>
  <c r="K51" i="3" s="1"/>
  <c r="G51" i="3"/>
  <c r="T197" i="3" l="1"/>
  <c r="P198" i="3"/>
  <c r="Q198" i="3" s="1"/>
  <c r="R198" i="3" s="1"/>
  <c r="S198" i="3" s="1"/>
  <c r="AA198" i="3"/>
  <c r="Z198" i="3"/>
  <c r="AC198" i="3"/>
  <c r="A199" i="3"/>
  <c r="B199" i="3" s="1"/>
  <c r="AD198" i="3"/>
  <c r="F51" i="3"/>
  <c r="V51" i="3"/>
  <c r="AE51" i="3"/>
  <c r="I51" i="3"/>
  <c r="J51" i="3"/>
  <c r="M51" i="3"/>
  <c r="N51" i="3" s="1"/>
  <c r="T198" i="3" l="1"/>
  <c r="AD199" i="3"/>
  <c r="AC199" i="3"/>
  <c r="Z199" i="3"/>
  <c r="P199" i="3"/>
  <c r="Q199" i="3" s="1"/>
  <c r="R199" i="3" s="1"/>
  <c r="S199" i="3" s="1"/>
  <c r="AA199" i="3"/>
  <c r="A200" i="3"/>
  <c r="B200" i="3" s="1"/>
  <c r="W51" i="3"/>
  <c r="L51" i="3"/>
  <c r="T199" i="3" l="1"/>
  <c r="A201" i="3"/>
  <c r="B201" i="3" s="1"/>
  <c r="AC200" i="3"/>
  <c r="P200" i="3"/>
  <c r="Q200" i="3" s="1"/>
  <c r="R200" i="3" s="1"/>
  <c r="S200" i="3" s="1"/>
  <c r="AA200" i="3"/>
  <c r="Z200" i="3"/>
  <c r="AD200" i="3"/>
  <c r="AH52" i="3"/>
  <c r="AG52" i="3"/>
  <c r="U51" i="3"/>
  <c r="E52" i="3" s="1"/>
  <c r="H52" i="3" s="1"/>
  <c r="Y50" i="3"/>
  <c r="T200" i="3" l="1"/>
  <c r="A202" i="3"/>
  <c r="B202" i="3" s="1"/>
  <c r="Z201" i="3"/>
  <c r="P201" i="3"/>
  <c r="Q201" i="3" s="1"/>
  <c r="R201" i="3" s="1"/>
  <c r="S201" i="3" s="1"/>
  <c r="AA201" i="3"/>
  <c r="AD201" i="3"/>
  <c r="AC201" i="3"/>
  <c r="D52" i="3"/>
  <c r="G52" i="3" s="1"/>
  <c r="K52" i="3"/>
  <c r="T201" i="3" l="1"/>
  <c r="P202" i="3"/>
  <c r="Q202" i="3" s="1"/>
  <c r="R202" i="3" s="1"/>
  <c r="S202" i="3" s="1"/>
  <c r="Z202" i="3"/>
  <c r="A203" i="3"/>
  <c r="B203" i="3" s="1"/>
  <c r="AD202" i="3"/>
  <c r="AA202" i="3"/>
  <c r="AC202" i="3"/>
  <c r="F52" i="3"/>
  <c r="V52" i="3"/>
  <c r="AE52" i="3"/>
  <c r="I52" i="3"/>
  <c r="J52" i="3"/>
  <c r="M52" i="3"/>
  <c r="N52" i="3" s="1"/>
  <c r="T202" i="3" l="1"/>
  <c r="P203" i="3"/>
  <c r="Q203" i="3" s="1"/>
  <c r="R203" i="3" s="1"/>
  <c r="S203" i="3" s="1"/>
  <c r="A204" i="3"/>
  <c r="B204" i="3" s="1"/>
  <c r="Z203" i="3"/>
  <c r="AC203" i="3"/>
  <c r="AD203" i="3"/>
  <c r="AA203" i="3"/>
  <c r="L52" i="3"/>
  <c r="W52" i="3"/>
  <c r="T203" i="3" l="1"/>
  <c r="P204" i="3"/>
  <c r="Q204" i="3" s="1"/>
  <c r="R204" i="3" s="1"/>
  <c r="S204" i="3" s="1"/>
  <c r="T204" i="3" s="1"/>
  <c r="AA204" i="3"/>
  <c r="AC204" i="3"/>
  <c r="Z204" i="3"/>
  <c r="AH53" i="3"/>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D104" i="3"/>
  <c r="V104" i="3" l="1"/>
  <c r="AE104" i="3"/>
  <c r="F104" i="3"/>
  <c r="G104" i="3"/>
  <c r="I104" i="3" l="1"/>
  <c r="W104" i="3" s="1"/>
  <c r="J104" i="3"/>
  <c r="M104" i="3"/>
  <c r="N104" i="3" s="1"/>
  <c r="L104" i="3" l="1"/>
  <c r="AD104" i="3"/>
  <c r="U104" i="3" l="1"/>
  <c r="E105" i="3" s="1"/>
  <c r="H105" i="3" s="1"/>
  <c r="AG105" i="3"/>
  <c r="AH105" i="3"/>
  <c r="Y103" i="3"/>
  <c r="D105" i="3" l="1"/>
  <c r="G105" i="3" s="1"/>
  <c r="K105" i="3"/>
  <c r="F105" i="3" l="1"/>
  <c r="V105" i="3"/>
  <c r="AE105" i="3"/>
  <c r="I105" i="3"/>
  <c r="J105" i="3"/>
  <c r="M105" i="3"/>
  <c r="N105" i="3" s="1"/>
  <c r="W105" i="3" l="1"/>
  <c r="L105" i="3"/>
  <c r="AH106" i="3" l="1"/>
  <c r="AG106" i="3"/>
  <c r="U105" i="3"/>
  <c r="D106" i="3" s="1"/>
  <c r="Y104" i="3"/>
  <c r="E106" i="3" l="1"/>
  <c r="H106" i="3" s="1"/>
  <c r="K106" i="3" s="1"/>
  <c r="G106" i="3"/>
  <c r="F106" i="3" l="1"/>
  <c r="V106" i="3"/>
  <c r="AE106" i="3"/>
  <c r="I106" i="3"/>
  <c r="J106" i="3"/>
  <c r="M106" i="3"/>
  <c r="N106" i="3" s="1"/>
  <c r="W106" i="3" l="1"/>
  <c r="L106" i="3"/>
  <c r="AG107" i="3" l="1"/>
  <c r="AH107" i="3"/>
  <c r="U106" i="3"/>
  <c r="E107" i="3" s="1"/>
  <c r="H107" i="3" s="1"/>
  <c r="Y105" i="3"/>
  <c r="K107" i="3" l="1"/>
  <c r="D107" i="3"/>
  <c r="V107" i="3" l="1"/>
  <c r="AE107" i="3"/>
  <c r="F107" i="3"/>
  <c r="G107" i="3"/>
  <c r="I107" i="3" l="1"/>
  <c r="W107" i="3" s="1"/>
  <c r="J107" i="3"/>
  <c r="M107" i="3"/>
  <c r="N107" i="3" s="1"/>
  <c r="L107" i="3" l="1"/>
  <c r="AH108" i="3" l="1"/>
  <c r="U107" i="3"/>
  <c r="E108" i="3" s="1"/>
  <c r="H108" i="3" s="1"/>
  <c r="AG108" i="3"/>
  <c r="Y106" i="3"/>
  <c r="D108" i="3" l="1"/>
  <c r="G108" i="3" s="1"/>
  <c r="K108" i="3"/>
  <c r="F108" i="3" l="1"/>
  <c r="I108" i="3"/>
  <c r="J108" i="3"/>
  <c r="M108" i="3"/>
  <c r="N108" i="3" s="1"/>
  <c r="V108" i="3"/>
  <c r="AE108" i="3"/>
  <c r="W108" i="3" l="1"/>
  <c r="L108" i="3"/>
  <c r="AG109" i="3" l="1"/>
  <c r="U108" i="3"/>
  <c r="D109" i="3" s="1"/>
  <c r="AH109" i="3"/>
  <c r="Y107" i="3"/>
  <c r="E109" i="3" l="1"/>
  <c r="H109" i="3" s="1"/>
  <c r="K109" i="3" s="1"/>
  <c r="G109" i="3"/>
  <c r="F109" i="3" l="1"/>
  <c r="V109" i="3"/>
  <c r="AE109" i="3"/>
  <c r="I109" i="3"/>
  <c r="J109" i="3"/>
  <c r="M109" i="3"/>
  <c r="N109" i="3" s="1"/>
  <c r="L109" i="3" l="1"/>
  <c r="W109" i="3"/>
  <c r="AH110" i="3" l="1"/>
  <c r="AG110" i="3"/>
  <c r="U109" i="3"/>
  <c r="D110" i="3" s="1"/>
  <c r="Y108" i="3"/>
  <c r="E110" i="3" l="1"/>
  <c r="H110" i="3" s="1"/>
  <c r="K110" i="3" s="1"/>
  <c r="G110" i="3"/>
  <c r="F110" i="3" l="1"/>
  <c r="I110" i="3"/>
  <c r="J110" i="3"/>
  <c r="M110" i="3"/>
  <c r="N110" i="3" s="1"/>
  <c r="V110" i="3"/>
  <c r="AE110" i="3"/>
  <c r="W110" i="3" l="1"/>
  <c r="L110" i="3"/>
  <c r="AH111" i="3" l="1"/>
  <c r="U110" i="3"/>
  <c r="E111" i="3" s="1"/>
  <c r="H111" i="3" s="1"/>
  <c r="AG111" i="3"/>
  <c r="Y109" i="3"/>
  <c r="D111" i="3" l="1"/>
  <c r="G111" i="3" s="1"/>
  <c r="K111" i="3"/>
  <c r="F111" i="3" l="1"/>
  <c r="I111" i="3"/>
  <c r="J111" i="3"/>
  <c r="M111" i="3"/>
  <c r="N111" i="3" s="1"/>
  <c r="V111" i="3"/>
  <c r="AE111" i="3"/>
  <c r="W111" i="3" l="1"/>
  <c r="L111" i="3"/>
  <c r="AH112" i="3" l="1"/>
  <c r="U111" i="3"/>
  <c r="D112" i="3" s="1"/>
  <c r="AG112" i="3"/>
  <c r="Y110" i="3"/>
  <c r="E112" i="3" l="1"/>
  <c r="H112" i="3" s="1"/>
  <c r="K112" i="3" s="1"/>
  <c r="G112" i="3"/>
  <c r="F112" i="3" l="1"/>
  <c r="V112" i="3"/>
  <c r="AE112" i="3"/>
  <c r="I112" i="3"/>
  <c r="J112" i="3"/>
  <c r="M112" i="3"/>
  <c r="N112" i="3" s="1"/>
  <c r="W112" i="3" l="1"/>
  <c r="L112" i="3"/>
  <c r="AG113" i="3" l="1"/>
  <c r="U112" i="3"/>
  <c r="E113" i="3" s="1"/>
  <c r="H113" i="3" s="1"/>
  <c r="AH113" i="3"/>
  <c r="Y111" i="3"/>
  <c r="D113" i="3" l="1"/>
  <c r="G113" i="3" s="1"/>
  <c r="K113" i="3"/>
  <c r="F113" i="3" l="1"/>
  <c r="V113" i="3"/>
  <c r="AE113" i="3"/>
  <c r="I113" i="3"/>
  <c r="J113" i="3"/>
  <c r="M113" i="3"/>
  <c r="N113" i="3" s="1"/>
  <c r="W113" i="3" l="1"/>
  <c r="L113" i="3"/>
  <c r="AH114" i="3" l="1"/>
  <c r="U113" i="3"/>
  <c r="D114" i="3" s="1"/>
  <c r="AG114" i="3"/>
  <c r="Y112" i="3"/>
  <c r="E114" i="3" l="1"/>
  <c r="H114" i="3" s="1"/>
  <c r="K114" i="3" s="1"/>
  <c r="G114" i="3"/>
  <c r="F114" i="3" l="1"/>
  <c r="I114" i="3"/>
  <c r="J114" i="3"/>
  <c r="M114" i="3"/>
  <c r="N114" i="3" s="1"/>
  <c r="V114" i="3"/>
  <c r="AE114" i="3"/>
  <c r="W114" i="3" l="1"/>
  <c r="L114" i="3"/>
  <c r="U114" i="3" l="1"/>
  <c r="D115" i="3" s="1"/>
  <c r="AH115" i="3"/>
  <c r="AG115" i="3"/>
  <c r="Y113" i="3"/>
  <c r="G115" i="3" l="1"/>
  <c r="E115" i="3"/>
  <c r="H115" i="3" s="1"/>
  <c r="F115" i="3" l="1"/>
  <c r="I115" i="3"/>
  <c r="J115" i="3"/>
  <c r="M115" i="3"/>
  <c r="N115" i="3" s="1"/>
  <c r="K115" i="3"/>
  <c r="V115" i="3" l="1"/>
  <c r="W115" i="3" s="1"/>
  <c r="AE115" i="3"/>
  <c r="L115" i="3"/>
  <c r="AH116" i="3" l="1"/>
  <c r="U115" i="3"/>
  <c r="E116" i="3" s="1"/>
  <c r="H116" i="3" s="1"/>
  <c r="AG116" i="3"/>
  <c r="Y114" i="3"/>
  <c r="K116" i="3" l="1"/>
  <c r="D116" i="3"/>
  <c r="V116" i="3" l="1"/>
  <c r="AE116" i="3"/>
  <c r="F116" i="3"/>
  <c r="G116" i="3"/>
  <c r="I116" i="3" l="1"/>
  <c r="W116" i="3" s="1"/>
  <c r="J116" i="3"/>
  <c r="M116" i="3"/>
  <c r="N116" i="3" s="1"/>
  <c r="L116" i="3" l="1"/>
  <c r="U116" i="3" l="1"/>
  <c r="D117" i="3" s="1"/>
  <c r="AH117" i="3"/>
  <c r="AG117" i="3"/>
  <c r="Y115" i="3"/>
  <c r="E117" i="3" l="1"/>
  <c r="H117" i="3" s="1"/>
  <c r="K117" i="3" s="1"/>
  <c r="G117" i="3"/>
  <c r="F117" i="3" l="1"/>
  <c r="I117" i="3"/>
  <c r="J117" i="3"/>
  <c r="M117" i="3"/>
  <c r="N117" i="3" s="1"/>
  <c r="V117" i="3"/>
  <c r="AE117" i="3"/>
  <c r="W117" i="3" l="1"/>
  <c r="L117" i="3"/>
  <c r="AG118" i="3" l="1"/>
  <c r="U117" i="3"/>
  <c r="D118" i="3" s="1"/>
  <c r="AH118" i="3"/>
  <c r="Y116" i="3"/>
  <c r="E118" i="3" l="1"/>
  <c r="H118" i="3" s="1"/>
  <c r="K118" i="3" s="1"/>
  <c r="G118" i="3"/>
  <c r="F118" i="3" l="1"/>
  <c r="I118" i="3"/>
  <c r="J118" i="3"/>
  <c r="M118" i="3"/>
  <c r="N118" i="3" s="1"/>
  <c r="V118" i="3"/>
  <c r="AE118" i="3"/>
  <c r="L118" i="3" l="1"/>
  <c r="W118" i="3"/>
  <c r="U118" i="3" l="1"/>
  <c r="E119" i="3" s="1"/>
  <c r="H119" i="3" s="1"/>
  <c r="AG119" i="3"/>
  <c r="AH119" i="3"/>
  <c r="Y117" i="3"/>
  <c r="D119" i="3" l="1"/>
  <c r="F119" i="3" s="1"/>
  <c r="K119" i="3"/>
  <c r="G119" i="3" l="1"/>
  <c r="M119" i="3" s="1"/>
  <c r="N119" i="3" s="1"/>
  <c r="V119" i="3"/>
  <c r="AE119" i="3"/>
  <c r="I119" i="3" l="1"/>
  <c r="W119" i="3" s="1"/>
  <c r="J119" i="3"/>
  <c r="L119" i="3" s="1"/>
  <c r="AH120" i="3" l="1"/>
  <c r="U119" i="3"/>
  <c r="D120" i="3" s="1"/>
  <c r="AG120" i="3"/>
  <c r="Y118" i="3"/>
  <c r="E120" i="3" l="1"/>
  <c r="H120" i="3" s="1"/>
  <c r="K120" i="3" s="1"/>
  <c r="G120" i="3"/>
  <c r="F120" i="3" l="1"/>
  <c r="I120" i="3"/>
  <c r="J120" i="3"/>
  <c r="M120" i="3"/>
  <c r="N120" i="3" s="1"/>
  <c r="V120" i="3"/>
  <c r="AE120" i="3"/>
  <c r="W120" i="3" l="1"/>
  <c r="L120" i="3"/>
  <c r="U120" i="3" l="1"/>
  <c r="E121" i="3" s="1"/>
  <c r="H121" i="3" s="1"/>
  <c r="AH121" i="3"/>
  <c r="AG121" i="3"/>
  <c r="Y119" i="3"/>
  <c r="D121" i="3" l="1"/>
  <c r="G121" i="3" s="1"/>
  <c r="K121" i="3"/>
  <c r="F121" i="3" l="1"/>
  <c r="I121" i="3"/>
  <c r="J121" i="3"/>
  <c r="M121" i="3"/>
  <c r="N121" i="3" s="1"/>
  <c r="V121" i="3"/>
  <c r="AE121" i="3"/>
  <c r="L121" i="3" l="1"/>
  <c r="W121" i="3"/>
  <c r="U121" i="3" l="1"/>
  <c r="D122" i="3" s="1"/>
  <c r="AG122" i="3"/>
  <c r="AH122" i="3"/>
  <c r="Y120" i="3"/>
  <c r="G122" i="3" l="1"/>
  <c r="E122" i="3"/>
  <c r="H122" i="3" s="1"/>
  <c r="F122" i="3" l="1"/>
  <c r="K122" i="3"/>
  <c r="I122" i="3"/>
  <c r="J122" i="3"/>
  <c r="M122" i="3"/>
  <c r="N122" i="3" s="1"/>
  <c r="L122" i="3" l="1"/>
  <c r="V122" i="3"/>
  <c r="W122" i="3" s="1"/>
  <c r="AE122" i="3"/>
  <c r="U122" i="3" l="1"/>
  <c r="D123" i="3" s="1"/>
  <c r="AH123" i="3"/>
  <c r="AG123" i="3"/>
  <c r="Y121" i="3"/>
  <c r="G123" i="3" l="1"/>
  <c r="E123" i="3"/>
  <c r="H123" i="3" s="1"/>
  <c r="I123" i="3" l="1"/>
  <c r="J123" i="3"/>
  <c r="M123" i="3"/>
  <c r="N123" i="3" s="1"/>
  <c r="K123" i="3"/>
  <c r="F123" i="3"/>
  <c r="V123" i="3" l="1"/>
  <c r="W123" i="3" s="1"/>
  <c r="AE123" i="3"/>
  <c r="L123" i="3"/>
  <c r="U123" i="3" l="1"/>
  <c r="D124" i="3" s="1"/>
  <c r="AH124" i="3"/>
  <c r="AG124" i="3"/>
  <c r="Y122" i="3"/>
  <c r="E124" i="3" l="1"/>
  <c r="H124" i="3" s="1"/>
  <c r="K124" i="3" s="1"/>
  <c r="G124" i="3"/>
  <c r="F124" i="3" l="1"/>
  <c r="I124" i="3"/>
  <c r="J124" i="3"/>
  <c r="M124" i="3"/>
  <c r="N124" i="3" s="1"/>
  <c r="V124" i="3"/>
  <c r="AE124" i="3"/>
  <c r="W124" i="3" l="1"/>
  <c r="L124" i="3"/>
  <c r="U124" i="3" l="1"/>
  <c r="E125" i="3" s="1"/>
  <c r="H125" i="3" s="1"/>
  <c r="AH125" i="3"/>
  <c r="AG125" i="3"/>
  <c r="Y123" i="3"/>
  <c r="K125" i="3" l="1"/>
  <c r="D125" i="3"/>
  <c r="V125" i="3" l="1"/>
  <c r="AE125" i="3"/>
  <c r="F125" i="3"/>
  <c r="G125" i="3"/>
  <c r="I125" i="3" l="1"/>
  <c r="W125" i="3" s="1"/>
  <c r="J125" i="3"/>
  <c r="M125" i="3"/>
  <c r="N125" i="3" s="1"/>
  <c r="L125" i="3" l="1"/>
  <c r="AG126" i="3" l="1"/>
  <c r="AH126" i="3"/>
  <c r="U125" i="3"/>
  <c r="D126" i="3" s="1"/>
  <c r="Y124" i="3"/>
  <c r="E126" i="3" l="1"/>
  <c r="H126" i="3" s="1"/>
  <c r="K126" i="3" s="1"/>
  <c r="G126" i="3"/>
  <c r="F126" i="3" l="1"/>
  <c r="I126" i="3"/>
  <c r="J126" i="3"/>
  <c r="M126" i="3"/>
  <c r="N126" i="3" s="1"/>
  <c r="V126" i="3"/>
  <c r="AE126" i="3"/>
  <c r="W126" i="3" l="1"/>
  <c r="L126" i="3"/>
  <c r="U126" i="3" l="1"/>
  <c r="E127" i="3" s="1"/>
  <c r="H127" i="3" s="1"/>
  <c r="AH127" i="3"/>
  <c r="AG127" i="3"/>
  <c r="Y125" i="3"/>
  <c r="D127" i="3" l="1"/>
  <c r="G127" i="3" s="1"/>
  <c r="K127" i="3"/>
  <c r="F127" i="3" l="1"/>
  <c r="I127" i="3"/>
  <c r="J127" i="3"/>
  <c r="M127" i="3"/>
  <c r="N127" i="3" s="1"/>
  <c r="V127" i="3"/>
  <c r="AE127" i="3"/>
  <c r="W127" i="3" l="1"/>
  <c r="L127" i="3"/>
  <c r="AH128" i="3" l="1"/>
  <c r="U127" i="3"/>
  <c r="E128" i="3" s="1"/>
  <c r="H128" i="3" s="1"/>
  <c r="AG128" i="3"/>
  <c r="Y126" i="3"/>
  <c r="D128" i="3" l="1"/>
  <c r="G128" i="3" s="1"/>
  <c r="K128" i="3"/>
  <c r="F128" i="3" l="1"/>
  <c r="I128" i="3"/>
  <c r="J128" i="3"/>
  <c r="M128" i="3"/>
  <c r="N128" i="3" s="1"/>
  <c r="V128" i="3"/>
  <c r="AE128" i="3"/>
  <c r="W128" i="3" l="1"/>
  <c r="L128" i="3"/>
  <c r="AH129" i="3" l="1"/>
  <c r="U128" i="3"/>
  <c r="D129" i="3" s="1"/>
  <c r="AG129" i="3"/>
  <c r="Y127" i="3"/>
  <c r="G129" i="3" l="1"/>
  <c r="E129" i="3"/>
  <c r="H129" i="3" s="1"/>
  <c r="F129" i="3" l="1"/>
  <c r="I129" i="3"/>
  <c r="J129" i="3"/>
  <c r="M129" i="3"/>
  <c r="N129" i="3" s="1"/>
  <c r="K129" i="3"/>
  <c r="V129" i="3" l="1"/>
  <c r="W129" i="3" s="1"/>
  <c r="AE129" i="3"/>
  <c r="L129" i="3"/>
  <c r="U129" i="3" l="1"/>
  <c r="E130" i="3" s="1"/>
  <c r="H130" i="3" s="1"/>
  <c r="AH130" i="3"/>
  <c r="AG130" i="3"/>
  <c r="Y128" i="3"/>
  <c r="D130" i="3" l="1"/>
  <c r="G130" i="3" s="1"/>
  <c r="K130" i="3"/>
  <c r="F130" i="3" l="1"/>
  <c r="V130" i="3"/>
  <c r="AE130" i="3"/>
  <c r="I130" i="3"/>
  <c r="J130" i="3"/>
  <c r="M130" i="3"/>
  <c r="N130" i="3" s="1"/>
  <c r="L130" i="3" l="1"/>
  <c r="W130" i="3"/>
  <c r="U130" i="3" l="1"/>
  <c r="E131" i="3" s="1"/>
  <c r="H131" i="3" s="1"/>
  <c r="AH131" i="3"/>
  <c r="AG131" i="3"/>
  <c r="Y129" i="3"/>
  <c r="D131" i="3" l="1"/>
  <c r="F131" i="3" s="1"/>
  <c r="K131" i="3"/>
  <c r="G131" i="3" l="1"/>
  <c r="M131" i="3" s="1"/>
  <c r="N131" i="3" s="1"/>
  <c r="V131" i="3"/>
  <c r="AE131" i="3"/>
  <c r="J131" i="3" l="1"/>
  <c r="L131" i="3" s="1"/>
  <c r="I131" i="3"/>
  <c r="W131" i="3" s="1"/>
  <c r="U131" i="3" l="1"/>
  <c r="E132" i="3" s="1"/>
  <c r="H132" i="3" s="1"/>
  <c r="AH132" i="3"/>
  <c r="AG132" i="3"/>
  <c r="Y130" i="3"/>
  <c r="K132" i="3" l="1"/>
  <c r="D132" i="3"/>
  <c r="V132" i="3" l="1"/>
  <c r="AE132" i="3"/>
  <c r="F132" i="3"/>
  <c r="G132" i="3"/>
  <c r="I132" i="3" l="1"/>
  <c r="W132" i="3" s="1"/>
  <c r="J132" i="3"/>
  <c r="M132" i="3"/>
  <c r="N132" i="3" s="1"/>
  <c r="L132" i="3" l="1"/>
  <c r="U132" i="3" l="1"/>
  <c r="D133" i="3" s="1"/>
  <c r="AH133" i="3"/>
  <c r="AG133" i="3"/>
  <c r="Y131" i="3"/>
  <c r="E133" i="3" l="1"/>
  <c r="H133" i="3" s="1"/>
  <c r="K133" i="3" s="1"/>
  <c r="G133" i="3"/>
  <c r="F133" i="3" l="1"/>
  <c r="V133" i="3"/>
  <c r="AE133" i="3"/>
  <c r="I133" i="3"/>
  <c r="J133" i="3"/>
  <c r="M133" i="3"/>
  <c r="N133" i="3" s="1"/>
  <c r="W133" i="3" l="1"/>
  <c r="L133" i="3"/>
  <c r="AG134" i="3" l="1"/>
  <c r="U133" i="3"/>
  <c r="D134" i="3" s="1"/>
  <c r="AH134" i="3"/>
  <c r="Y132" i="3"/>
  <c r="E134" i="3" l="1"/>
  <c r="H134" i="3" s="1"/>
  <c r="K134" i="3" s="1"/>
  <c r="G134" i="3"/>
  <c r="F134" i="3" l="1"/>
  <c r="I134" i="3"/>
  <c r="J134" i="3"/>
  <c r="M134" i="3"/>
  <c r="N134" i="3" s="1"/>
  <c r="V134" i="3"/>
  <c r="AE134" i="3"/>
  <c r="W134" i="3" l="1"/>
  <c r="L134" i="3"/>
  <c r="U134" i="3" l="1"/>
  <c r="E135" i="3" s="1"/>
  <c r="H135" i="3" s="1"/>
  <c r="AH135" i="3"/>
  <c r="AG135" i="3"/>
  <c r="Y133" i="3"/>
  <c r="K135" i="3" l="1"/>
  <c r="D135" i="3"/>
  <c r="V135" i="3" l="1"/>
  <c r="AE135" i="3"/>
  <c r="F135" i="3"/>
  <c r="G135" i="3"/>
  <c r="I135" i="3" l="1"/>
  <c r="W135" i="3" s="1"/>
  <c r="J135" i="3"/>
  <c r="M135" i="3"/>
  <c r="N135" i="3" s="1"/>
  <c r="L135" i="3" l="1"/>
  <c r="AH136" i="3" l="1"/>
  <c r="U135" i="3"/>
  <c r="D136" i="3" s="1"/>
  <c r="AG136" i="3"/>
  <c r="Y134" i="3"/>
  <c r="E136" i="3" l="1"/>
  <c r="H136" i="3" s="1"/>
  <c r="K136" i="3" s="1"/>
  <c r="G136" i="3"/>
  <c r="F136" i="3" l="1"/>
  <c r="I136" i="3"/>
  <c r="J136" i="3"/>
  <c r="M136" i="3"/>
  <c r="N136" i="3" s="1"/>
  <c r="V136" i="3"/>
  <c r="AE136" i="3"/>
  <c r="W136" i="3" l="1"/>
  <c r="L136" i="3"/>
  <c r="U136" i="3" l="1"/>
  <c r="D137" i="3" s="1"/>
  <c r="AH137" i="3"/>
  <c r="AG137" i="3"/>
  <c r="Y135" i="3"/>
  <c r="E137" i="3" l="1"/>
  <c r="H137" i="3" s="1"/>
  <c r="K137" i="3" s="1"/>
  <c r="G137" i="3"/>
  <c r="F137" i="3" l="1"/>
  <c r="I137" i="3"/>
  <c r="J137" i="3"/>
  <c r="M137" i="3"/>
  <c r="N137" i="3" s="1"/>
  <c r="V137" i="3"/>
  <c r="AE137" i="3"/>
  <c r="W137" i="3" l="1"/>
  <c r="L137" i="3"/>
  <c r="AH138" i="3" l="1"/>
  <c r="U137" i="3"/>
  <c r="E138" i="3" s="1"/>
  <c r="H138" i="3" s="1"/>
  <c r="AG138" i="3"/>
  <c r="Y136" i="3"/>
  <c r="D138" i="3" l="1"/>
  <c r="F138" i="3" s="1"/>
  <c r="K138" i="3"/>
  <c r="G138" i="3" l="1"/>
  <c r="M138" i="3" s="1"/>
  <c r="N138" i="3" s="1"/>
  <c r="V138" i="3"/>
  <c r="AE138" i="3"/>
  <c r="I138" i="3" l="1"/>
  <c r="W138" i="3" s="1"/>
  <c r="J138" i="3"/>
  <c r="L138" i="3" s="1"/>
  <c r="U138" i="3" l="1"/>
  <c r="E139" i="3" s="1"/>
  <c r="H139" i="3" s="1"/>
  <c r="AG139" i="3"/>
  <c r="AH139" i="3"/>
  <c r="Y137" i="3"/>
  <c r="D139" i="3" l="1"/>
  <c r="G139" i="3" s="1"/>
  <c r="K139" i="3"/>
  <c r="F139" i="3" l="1"/>
  <c r="V139" i="3"/>
  <c r="AE139" i="3"/>
  <c r="I139" i="3"/>
  <c r="J139" i="3"/>
  <c r="M139" i="3"/>
  <c r="N139" i="3" s="1"/>
  <c r="W139" i="3" l="1"/>
  <c r="L139" i="3"/>
  <c r="AG140" i="3" l="1"/>
  <c r="U139" i="3"/>
  <c r="E140" i="3" s="1"/>
  <c r="H140" i="3" s="1"/>
  <c r="AH140" i="3"/>
  <c r="Y138" i="3"/>
  <c r="D140" i="3" l="1"/>
  <c r="G140" i="3" s="1"/>
  <c r="K140" i="3"/>
  <c r="F140" i="3" l="1"/>
  <c r="V140" i="3"/>
  <c r="AE140" i="3"/>
  <c r="I140" i="3"/>
  <c r="J140" i="3"/>
  <c r="M140" i="3"/>
  <c r="N140" i="3" s="1"/>
  <c r="W140" i="3" l="1"/>
  <c r="L140" i="3"/>
  <c r="AG141" i="3" l="1"/>
  <c r="U140" i="3"/>
  <c r="D141" i="3" s="1"/>
  <c r="AH141" i="3"/>
  <c r="Y139" i="3"/>
  <c r="E141" i="3" l="1"/>
  <c r="H141" i="3" s="1"/>
  <c r="K141" i="3" s="1"/>
  <c r="G141" i="3"/>
  <c r="F141" i="3" l="1"/>
  <c r="I141" i="3"/>
  <c r="J141" i="3"/>
  <c r="M141" i="3"/>
  <c r="N141" i="3" s="1"/>
  <c r="V141" i="3"/>
  <c r="AE141" i="3"/>
  <c r="W141" i="3" l="1"/>
  <c r="L141" i="3"/>
  <c r="U141" i="3" l="1"/>
  <c r="D142" i="3" s="1"/>
  <c r="AH142" i="3"/>
  <c r="AG142" i="3"/>
  <c r="Y140" i="3"/>
  <c r="E142" i="3" l="1"/>
  <c r="H142" i="3" s="1"/>
  <c r="K142" i="3" s="1"/>
  <c r="G142" i="3"/>
  <c r="F142" i="3" l="1"/>
  <c r="V142" i="3"/>
  <c r="AE142" i="3"/>
  <c r="I142" i="3"/>
  <c r="J142" i="3"/>
  <c r="M142" i="3"/>
  <c r="N142" i="3" s="1"/>
  <c r="W142" i="3" l="1"/>
  <c r="L142" i="3"/>
  <c r="U142" i="3" l="1"/>
  <c r="E143" i="3" s="1"/>
  <c r="H143" i="3" s="1"/>
  <c r="AG143" i="3"/>
  <c r="AH143" i="3"/>
  <c r="Y141" i="3"/>
  <c r="D143" i="3" l="1"/>
  <c r="F143" i="3" s="1"/>
  <c r="K143" i="3"/>
  <c r="G143" i="3" l="1"/>
  <c r="M143" i="3" s="1"/>
  <c r="N143" i="3" s="1"/>
  <c r="V143" i="3"/>
  <c r="AE143" i="3"/>
  <c r="J143" i="3" l="1"/>
  <c r="L143" i="3" s="1"/>
  <c r="I143" i="3"/>
  <c r="W143" i="3" s="1"/>
  <c r="U143" i="3" l="1"/>
  <c r="D144" i="3" s="1"/>
  <c r="AG144" i="3"/>
  <c r="AH144" i="3"/>
  <c r="Y142" i="3"/>
  <c r="E144" i="3" l="1"/>
  <c r="H144" i="3" s="1"/>
  <c r="K144" i="3" s="1"/>
  <c r="G144" i="3"/>
  <c r="F144" i="3" l="1"/>
  <c r="V144" i="3"/>
  <c r="AE144" i="3"/>
  <c r="I144" i="3"/>
  <c r="J144" i="3"/>
  <c r="M144" i="3"/>
  <c r="N144" i="3" s="1"/>
  <c r="W144" i="3" l="1"/>
  <c r="L144" i="3"/>
  <c r="AH145" i="3" l="1"/>
  <c r="AG145" i="3"/>
  <c r="U144" i="3"/>
  <c r="D145" i="3" s="1"/>
  <c r="Y143" i="3"/>
  <c r="E145" i="3" l="1"/>
  <c r="H145" i="3" s="1"/>
  <c r="K145" i="3" s="1"/>
  <c r="G145" i="3"/>
  <c r="F145" i="3" l="1"/>
  <c r="I145" i="3"/>
  <c r="J145" i="3"/>
  <c r="M145" i="3"/>
  <c r="N145" i="3" s="1"/>
  <c r="V145" i="3"/>
  <c r="AE145" i="3"/>
  <c r="W145" i="3" l="1"/>
  <c r="L145" i="3"/>
  <c r="U145" i="3" l="1"/>
  <c r="D146" i="3" s="1"/>
  <c r="AH146" i="3"/>
  <c r="AG146" i="3"/>
  <c r="Y144" i="3"/>
  <c r="E146" i="3" l="1"/>
  <c r="H146" i="3" s="1"/>
  <c r="K146" i="3" s="1"/>
  <c r="G146" i="3"/>
  <c r="F146" i="3" l="1"/>
  <c r="I146" i="3"/>
  <c r="J146" i="3"/>
  <c r="M146" i="3"/>
  <c r="N146" i="3" s="1"/>
  <c r="V146" i="3"/>
  <c r="AE146" i="3"/>
  <c r="W146" i="3" l="1"/>
  <c r="L146" i="3"/>
  <c r="U146" i="3" l="1"/>
  <c r="D147" i="3" s="1"/>
  <c r="AG147" i="3"/>
  <c r="AH147" i="3"/>
  <c r="Y145" i="3"/>
  <c r="E147" i="3" l="1"/>
  <c r="H147" i="3" s="1"/>
  <c r="K147" i="3" s="1"/>
  <c r="G147" i="3"/>
  <c r="F147" i="3" l="1"/>
  <c r="V147" i="3"/>
  <c r="AE147" i="3"/>
  <c r="I147" i="3"/>
  <c r="J147" i="3"/>
  <c r="M147" i="3"/>
  <c r="N147" i="3" s="1"/>
  <c r="W147" i="3" l="1"/>
  <c r="L147" i="3"/>
  <c r="AG148" i="3" l="1"/>
  <c r="U147" i="3"/>
  <c r="E148" i="3" s="1"/>
  <c r="H148" i="3" s="1"/>
  <c r="AH148" i="3"/>
  <c r="Y146" i="3"/>
  <c r="K148" i="3" l="1"/>
  <c r="D148" i="3"/>
  <c r="V148" i="3" l="1"/>
  <c r="AE148" i="3"/>
  <c r="F148" i="3"/>
  <c r="G148" i="3"/>
  <c r="I148" i="3" l="1"/>
  <c r="W148" i="3" s="1"/>
  <c r="J148" i="3"/>
  <c r="M148" i="3"/>
  <c r="N148" i="3" s="1"/>
  <c r="L148" i="3" l="1"/>
  <c r="AG149" i="3" l="1"/>
  <c r="U148" i="3"/>
  <c r="D149" i="3" s="1"/>
  <c r="AH149" i="3"/>
  <c r="Y147" i="3"/>
  <c r="E149" i="3" l="1"/>
  <c r="H149" i="3" s="1"/>
  <c r="K149" i="3" s="1"/>
  <c r="G149" i="3"/>
  <c r="F149" i="3" l="1"/>
  <c r="I149" i="3"/>
  <c r="J149" i="3"/>
  <c r="M149" i="3"/>
  <c r="N149" i="3" s="1"/>
  <c r="V149" i="3"/>
  <c r="AE149" i="3"/>
  <c r="W149" i="3" l="1"/>
  <c r="L149" i="3"/>
  <c r="AH150" i="3" l="1"/>
  <c r="U149" i="3"/>
  <c r="D150" i="3" s="1"/>
  <c r="AG150" i="3"/>
  <c r="Y148" i="3"/>
  <c r="E150" i="3" l="1"/>
  <c r="H150" i="3" s="1"/>
  <c r="K150" i="3" s="1"/>
  <c r="G150" i="3"/>
  <c r="F150" i="3" l="1"/>
  <c r="I150" i="3"/>
  <c r="J150" i="3"/>
  <c r="M150" i="3"/>
  <c r="N150" i="3" s="1"/>
  <c r="V150" i="3"/>
  <c r="AE150" i="3"/>
  <c r="W150" i="3" l="1"/>
  <c r="L150" i="3"/>
  <c r="AH151" i="3" l="1"/>
  <c r="U150" i="3"/>
  <c r="E151" i="3" s="1"/>
  <c r="H151" i="3" s="1"/>
  <c r="AG151" i="3"/>
  <c r="Y149" i="3"/>
  <c r="D151" i="3" l="1"/>
  <c r="G151" i="3" s="1"/>
  <c r="K151" i="3"/>
  <c r="F151" i="3" l="1"/>
  <c r="I151" i="3"/>
  <c r="J151" i="3"/>
  <c r="M151" i="3"/>
  <c r="N151" i="3" s="1"/>
  <c r="V151" i="3"/>
  <c r="AE151" i="3"/>
  <c r="W151" i="3" l="1"/>
  <c r="L151" i="3"/>
  <c r="AH152" i="3" l="1"/>
  <c r="AG152" i="3"/>
  <c r="U151" i="3"/>
  <c r="E152" i="3" s="1"/>
  <c r="H152" i="3" s="1"/>
  <c r="Y150" i="3"/>
  <c r="D152" i="3" l="1"/>
  <c r="G152" i="3" s="1"/>
  <c r="K152" i="3"/>
  <c r="F152" i="3" l="1"/>
  <c r="V152" i="3"/>
  <c r="AE152" i="3"/>
  <c r="I152" i="3"/>
  <c r="J152" i="3"/>
  <c r="M152" i="3"/>
  <c r="N152" i="3" s="1"/>
  <c r="W152" i="3" l="1"/>
  <c r="L152" i="3"/>
  <c r="AH153" i="3" l="1"/>
  <c r="U152" i="3"/>
  <c r="D153" i="3" s="1"/>
  <c r="AG153" i="3"/>
  <c r="Y151" i="3"/>
  <c r="G153" i="3" l="1"/>
  <c r="E153" i="3"/>
  <c r="H153" i="3" s="1"/>
  <c r="K153" i="3" l="1"/>
  <c r="I153" i="3"/>
  <c r="J153" i="3"/>
  <c r="M153" i="3"/>
  <c r="N153" i="3" s="1"/>
  <c r="F153" i="3"/>
  <c r="V153" i="3" l="1"/>
  <c r="W153" i="3" s="1"/>
  <c r="AE153" i="3"/>
  <c r="L153" i="3"/>
  <c r="U153" i="3" l="1"/>
  <c r="D154" i="3" s="1"/>
  <c r="AG154" i="3"/>
  <c r="AH154" i="3"/>
  <c r="Y152" i="3"/>
  <c r="E154" i="3" l="1"/>
  <c r="H154" i="3" s="1"/>
  <c r="K154" i="3" s="1"/>
  <c r="G154" i="3"/>
  <c r="F154" i="3" l="1"/>
  <c r="I154" i="3"/>
  <c r="J154" i="3"/>
  <c r="M154" i="3"/>
  <c r="N154" i="3" s="1"/>
  <c r="V154" i="3"/>
  <c r="AE154" i="3"/>
  <c r="L154" i="3" l="1"/>
  <c r="W154" i="3"/>
  <c r="U154" i="3" l="1"/>
  <c r="E155" i="3" s="1"/>
  <c r="H155" i="3" s="1"/>
  <c r="AH155" i="3"/>
  <c r="AG155" i="3"/>
  <c r="Y153" i="3"/>
  <c r="D155" i="3" l="1"/>
  <c r="G155" i="3" s="1"/>
  <c r="K155" i="3"/>
  <c r="F155" i="3" l="1"/>
  <c r="V155" i="3"/>
  <c r="AE155" i="3"/>
  <c r="I155" i="3"/>
  <c r="J155" i="3"/>
  <c r="M155" i="3"/>
  <c r="N155" i="3" s="1"/>
  <c r="W155" i="3" l="1"/>
  <c r="L155" i="3"/>
  <c r="AG156" i="3" l="1"/>
  <c r="U155" i="3"/>
  <c r="D156" i="3" s="1"/>
  <c r="AH156" i="3"/>
  <c r="Y154" i="3"/>
  <c r="E156" i="3" l="1"/>
  <c r="H156" i="3" s="1"/>
  <c r="K156" i="3" s="1"/>
  <c r="G156" i="3"/>
  <c r="F156" i="3" l="1"/>
  <c r="V156" i="3"/>
  <c r="AE156" i="3"/>
  <c r="I156" i="3"/>
  <c r="J156" i="3"/>
  <c r="M156" i="3"/>
  <c r="N156" i="3" s="1"/>
  <c r="W156" i="3" l="1"/>
  <c r="L156" i="3"/>
  <c r="U156" i="3" l="1"/>
  <c r="E157" i="3" s="1"/>
  <c r="H157" i="3" s="1"/>
  <c r="AH157" i="3"/>
  <c r="AG157" i="3"/>
  <c r="Y155" i="3"/>
  <c r="D157" i="3" l="1"/>
  <c r="G157" i="3" s="1"/>
  <c r="K157" i="3"/>
  <c r="F157" i="3" l="1"/>
  <c r="I157" i="3"/>
  <c r="J157" i="3"/>
  <c r="M157" i="3"/>
  <c r="N157" i="3" s="1"/>
  <c r="V157" i="3"/>
  <c r="AE157" i="3"/>
  <c r="W157" i="3" l="1"/>
  <c r="L157" i="3"/>
  <c r="U157" i="3" l="1"/>
  <c r="E158" i="3" s="1"/>
  <c r="H158" i="3" s="1"/>
  <c r="AH158" i="3"/>
  <c r="AG158" i="3"/>
  <c r="Y156" i="3"/>
  <c r="D158" i="3" l="1"/>
  <c r="F158" i="3" s="1"/>
  <c r="K158" i="3"/>
  <c r="G158" i="3" l="1"/>
  <c r="I158" i="3" s="1"/>
  <c r="V158" i="3"/>
  <c r="AE158" i="3"/>
  <c r="M158" i="3" l="1"/>
  <c r="N158" i="3" s="1"/>
  <c r="J158" i="3"/>
  <c r="L158" i="3" s="1"/>
  <c r="W158" i="3"/>
  <c r="U158" i="3" l="1"/>
  <c r="E159" i="3" s="1"/>
  <c r="H159" i="3" s="1"/>
  <c r="AG159" i="3"/>
  <c r="AH159" i="3"/>
  <c r="Y157" i="3"/>
  <c r="D159" i="3" l="1"/>
  <c r="F159" i="3" s="1"/>
  <c r="K159" i="3"/>
  <c r="G159" i="3" l="1"/>
  <c r="M159" i="3" s="1"/>
  <c r="N159" i="3" s="1"/>
  <c r="V159" i="3"/>
  <c r="AE159" i="3"/>
  <c r="I159" i="3" l="1"/>
  <c r="W159" i="3" s="1"/>
  <c r="J159" i="3"/>
  <c r="L159" i="3" s="1"/>
  <c r="AH160" i="3" l="1"/>
  <c r="U159" i="3"/>
  <c r="E160" i="3" s="1"/>
  <c r="H160" i="3" s="1"/>
  <c r="AG160" i="3"/>
  <c r="Y158" i="3"/>
  <c r="D160" i="3" l="1"/>
  <c r="G160" i="3" s="1"/>
  <c r="K160" i="3"/>
  <c r="F160" i="3" l="1"/>
  <c r="I160" i="3"/>
  <c r="J160" i="3"/>
  <c r="M160" i="3"/>
  <c r="N160" i="3" s="1"/>
  <c r="V160" i="3"/>
  <c r="AE160" i="3"/>
  <c r="W160" i="3" l="1"/>
  <c r="L160" i="3"/>
  <c r="AG161" i="3" l="1"/>
  <c r="AH161" i="3"/>
  <c r="U160" i="3"/>
  <c r="E161" i="3" s="1"/>
  <c r="H161" i="3" s="1"/>
  <c r="Y159" i="3"/>
  <c r="D161" i="3" l="1"/>
  <c r="G161" i="3" s="1"/>
  <c r="K161" i="3"/>
  <c r="F161" i="3" l="1"/>
  <c r="I161" i="3"/>
  <c r="J161" i="3"/>
  <c r="M161" i="3"/>
  <c r="N161" i="3" s="1"/>
  <c r="V161" i="3"/>
  <c r="AE161" i="3"/>
  <c r="W161" i="3" l="1"/>
  <c r="L161" i="3"/>
  <c r="U161" i="3" l="1"/>
  <c r="D162" i="3" s="1"/>
  <c r="AG162" i="3"/>
  <c r="AH162" i="3"/>
  <c r="Y160" i="3"/>
  <c r="G162" i="3" l="1"/>
  <c r="E162" i="3"/>
  <c r="H162" i="3" s="1"/>
  <c r="F162" i="3" l="1"/>
  <c r="I162" i="3"/>
  <c r="J162" i="3"/>
  <c r="M162" i="3"/>
  <c r="N162" i="3" s="1"/>
  <c r="K162" i="3"/>
  <c r="V162" i="3" l="1"/>
  <c r="W162" i="3" s="1"/>
  <c r="AE162" i="3"/>
  <c r="L162" i="3"/>
  <c r="U162" i="3" l="1"/>
  <c r="D163" i="3" s="1"/>
  <c r="AH163" i="3"/>
  <c r="AG163" i="3"/>
  <c r="Y161" i="3"/>
  <c r="E163" i="3" l="1"/>
  <c r="H163" i="3" s="1"/>
  <c r="K163" i="3" s="1"/>
  <c r="G163" i="3"/>
  <c r="F163" i="3" l="1"/>
  <c r="V163" i="3"/>
  <c r="AE163" i="3"/>
  <c r="I163" i="3"/>
  <c r="J163" i="3"/>
  <c r="M163" i="3"/>
  <c r="N163" i="3" s="1"/>
  <c r="W163" i="3" l="1"/>
  <c r="L163" i="3"/>
  <c r="AH164" i="3" l="1"/>
  <c r="U163" i="3"/>
  <c r="D164" i="3" s="1"/>
  <c r="AG164" i="3"/>
  <c r="Y162" i="3"/>
  <c r="E164" i="3" l="1"/>
  <c r="H164" i="3" s="1"/>
  <c r="K164" i="3" s="1"/>
  <c r="G164" i="3"/>
  <c r="F164" i="3" l="1"/>
  <c r="I164" i="3"/>
  <c r="J164" i="3"/>
  <c r="M164" i="3"/>
  <c r="N164" i="3" s="1"/>
  <c r="V164" i="3"/>
  <c r="AE164" i="3"/>
  <c r="W164" i="3" l="1"/>
  <c r="L164" i="3"/>
  <c r="U164" i="3" l="1"/>
  <c r="D165" i="3" s="1"/>
  <c r="AG165" i="3"/>
  <c r="AH165" i="3"/>
  <c r="Y163" i="3"/>
  <c r="E165" i="3" l="1"/>
  <c r="H165" i="3" s="1"/>
  <c r="K165" i="3" s="1"/>
  <c r="G165" i="3"/>
  <c r="F165" i="3" l="1"/>
  <c r="V165" i="3"/>
  <c r="AE165" i="3"/>
  <c r="I165" i="3"/>
  <c r="J165" i="3"/>
  <c r="M165" i="3"/>
  <c r="N165" i="3" s="1"/>
  <c r="L165" i="3" l="1"/>
  <c r="W165" i="3"/>
  <c r="AH166" i="3" l="1"/>
  <c r="U165" i="3"/>
  <c r="E166" i="3" s="1"/>
  <c r="H166" i="3" s="1"/>
  <c r="AG166" i="3"/>
  <c r="Y164" i="3"/>
  <c r="D166" i="3" l="1"/>
  <c r="G166" i="3" s="1"/>
  <c r="K166" i="3"/>
  <c r="F166" i="3" l="1"/>
  <c r="I166" i="3"/>
  <c r="J166" i="3"/>
  <c r="M166" i="3"/>
  <c r="N166" i="3" s="1"/>
  <c r="V166" i="3"/>
  <c r="AE166" i="3"/>
  <c r="W166" i="3" l="1"/>
  <c r="L166" i="3"/>
  <c r="AH167" i="3" l="1"/>
  <c r="AG167" i="3"/>
  <c r="U166" i="3"/>
  <c r="E167" i="3" s="1"/>
  <c r="H167" i="3" s="1"/>
  <c r="Y165" i="3"/>
  <c r="K167" i="3" l="1"/>
  <c r="D167" i="3"/>
  <c r="V167" i="3" l="1"/>
  <c r="AE167" i="3"/>
  <c r="F167" i="3"/>
  <c r="G167" i="3"/>
  <c r="I167" i="3" l="1"/>
  <c r="W167" i="3" s="1"/>
  <c r="J167" i="3"/>
  <c r="M167" i="3"/>
  <c r="N167" i="3" s="1"/>
  <c r="L167" i="3" l="1"/>
  <c r="AH168" i="3" l="1"/>
  <c r="U167" i="3"/>
  <c r="E168" i="3" s="1"/>
  <c r="H168" i="3" s="1"/>
  <c r="AG168" i="3"/>
  <c r="Y166" i="3"/>
  <c r="D168" i="3" l="1"/>
  <c r="F168" i="3" s="1"/>
  <c r="K168" i="3"/>
  <c r="G168" i="3" l="1"/>
  <c r="I168" i="3" s="1"/>
  <c r="V168" i="3"/>
  <c r="AE168" i="3"/>
  <c r="M168" i="3" l="1"/>
  <c r="N168" i="3" s="1"/>
  <c r="J168" i="3"/>
  <c r="L168" i="3" s="1"/>
  <c r="W168" i="3"/>
  <c r="U168" i="3" l="1"/>
  <c r="E169" i="3" s="1"/>
  <c r="H169" i="3" s="1"/>
  <c r="AH169" i="3"/>
  <c r="AG169" i="3"/>
  <c r="Y167" i="3"/>
  <c r="D169" i="3" l="1"/>
  <c r="F169" i="3" s="1"/>
  <c r="K169" i="3"/>
  <c r="G169" i="3" l="1"/>
  <c r="I169" i="3" s="1"/>
  <c r="V169" i="3"/>
  <c r="AE169" i="3"/>
  <c r="M169" i="3" l="1"/>
  <c r="N169" i="3" s="1"/>
  <c r="J169" i="3"/>
  <c r="L169" i="3" s="1"/>
  <c r="W169" i="3"/>
  <c r="AH170" i="3" l="1"/>
  <c r="U169" i="3"/>
  <c r="E170" i="3" s="1"/>
  <c r="H170" i="3" s="1"/>
  <c r="AG170" i="3"/>
  <c r="Y168" i="3"/>
  <c r="D170" i="3" l="1"/>
  <c r="G170" i="3" s="1"/>
  <c r="K170" i="3"/>
  <c r="F170" i="3" l="1"/>
  <c r="I170" i="3"/>
  <c r="J170" i="3"/>
  <c r="M170" i="3"/>
  <c r="N170" i="3" s="1"/>
  <c r="V170" i="3"/>
  <c r="AE170" i="3"/>
  <c r="W170" i="3" l="1"/>
  <c r="L170" i="3"/>
  <c r="AG171" i="3" l="1"/>
  <c r="U170" i="3"/>
  <c r="E171" i="3" s="1"/>
  <c r="H171" i="3" s="1"/>
  <c r="AH171" i="3"/>
  <c r="Y169" i="3"/>
  <c r="K171" i="3" l="1"/>
  <c r="D171" i="3"/>
  <c r="F171" i="3" l="1"/>
  <c r="G171" i="3"/>
  <c r="V171" i="3"/>
  <c r="AE171" i="3"/>
  <c r="I171" i="3" l="1"/>
  <c r="W171" i="3" s="1"/>
  <c r="J171" i="3"/>
  <c r="M171" i="3"/>
  <c r="N171" i="3" s="1"/>
  <c r="L171" i="3" l="1"/>
  <c r="U171" i="3" l="1"/>
  <c r="E172" i="3" s="1"/>
  <c r="H172" i="3" s="1"/>
  <c r="AH172" i="3"/>
  <c r="AG172" i="3"/>
  <c r="Y170" i="3"/>
  <c r="K172" i="3" l="1"/>
  <c r="D172" i="3"/>
  <c r="V172" i="3" l="1"/>
  <c r="AE172" i="3"/>
  <c r="F172" i="3"/>
  <c r="G172" i="3"/>
  <c r="I172" i="3" l="1"/>
  <c r="W172" i="3" s="1"/>
  <c r="J172" i="3"/>
  <c r="M172" i="3"/>
  <c r="N172" i="3" s="1"/>
  <c r="L172" i="3" l="1"/>
  <c r="U172" i="3" l="1"/>
  <c r="E173" i="3" s="1"/>
  <c r="H173" i="3" s="1"/>
  <c r="AH173" i="3"/>
  <c r="AG173" i="3"/>
  <c r="Y171" i="3"/>
  <c r="D173" i="3" l="1"/>
  <c r="G173" i="3" s="1"/>
  <c r="K173" i="3"/>
  <c r="F173" i="3" l="1"/>
  <c r="I173" i="3"/>
  <c r="J173" i="3"/>
  <c r="M173" i="3"/>
  <c r="N173" i="3" s="1"/>
  <c r="V173" i="3"/>
  <c r="AE173" i="3"/>
  <c r="L173" i="3" l="1"/>
  <c r="W173" i="3"/>
  <c r="U173" i="3" l="1"/>
  <c r="E174" i="3" s="1"/>
  <c r="H174" i="3" s="1"/>
  <c r="AG174" i="3"/>
  <c r="AH174" i="3"/>
  <c r="Y172" i="3"/>
  <c r="D174" i="3" l="1"/>
  <c r="G174" i="3" s="1"/>
  <c r="K174" i="3"/>
  <c r="F174" i="3" l="1"/>
  <c r="V174" i="3"/>
  <c r="AE174" i="3"/>
  <c r="I174" i="3"/>
  <c r="J174" i="3"/>
  <c r="M174" i="3"/>
  <c r="N174" i="3" s="1"/>
  <c r="W174" i="3" l="1"/>
  <c r="L174" i="3"/>
  <c r="U174" i="3" l="1"/>
  <c r="D175" i="3" s="1"/>
  <c r="AG175" i="3"/>
  <c r="AH175" i="3"/>
  <c r="Y173" i="3"/>
  <c r="E175" i="3" l="1"/>
  <c r="H175" i="3" s="1"/>
  <c r="K175" i="3" s="1"/>
  <c r="G175" i="3"/>
  <c r="F175" i="3" l="1"/>
  <c r="I175" i="3"/>
  <c r="J175" i="3"/>
  <c r="M175" i="3"/>
  <c r="N175" i="3" s="1"/>
  <c r="V175" i="3"/>
  <c r="AE175" i="3"/>
  <c r="W175" i="3" l="1"/>
  <c r="L175" i="3"/>
  <c r="U175" i="3" l="1"/>
  <c r="E176" i="3" s="1"/>
  <c r="H176" i="3" s="1"/>
  <c r="AG176" i="3"/>
  <c r="AH176" i="3"/>
  <c r="Y174" i="3"/>
  <c r="D176" i="3" l="1"/>
  <c r="G176" i="3" s="1"/>
  <c r="K176" i="3"/>
  <c r="F176" i="3" l="1"/>
  <c r="I176" i="3"/>
  <c r="J176" i="3"/>
  <c r="M176" i="3"/>
  <c r="N176" i="3" s="1"/>
  <c r="V176" i="3"/>
  <c r="AE176" i="3"/>
  <c r="W176" i="3" l="1"/>
  <c r="L176" i="3"/>
  <c r="AH177" i="3" l="1"/>
  <c r="U176" i="3"/>
  <c r="D177" i="3" s="1"/>
  <c r="AG177" i="3"/>
  <c r="Y175" i="3"/>
  <c r="G177" i="3" l="1"/>
  <c r="E177" i="3"/>
  <c r="H177" i="3" s="1"/>
  <c r="F177" i="3" l="1"/>
  <c r="I177" i="3"/>
  <c r="J177" i="3"/>
  <c r="M177" i="3"/>
  <c r="N177" i="3" s="1"/>
  <c r="K177" i="3"/>
  <c r="V177" i="3" l="1"/>
  <c r="W177" i="3" s="1"/>
  <c r="AE177" i="3"/>
  <c r="L177" i="3"/>
  <c r="AH178" i="3" l="1"/>
  <c r="U177" i="3"/>
  <c r="E178" i="3" s="1"/>
  <c r="H178" i="3" s="1"/>
  <c r="AG178" i="3"/>
  <c r="Y176" i="3"/>
  <c r="D178" i="3" l="1"/>
  <c r="G178" i="3" s="1"/>
  <c r="K178" i="3"/>
  <c r="F178" i="3" l="1"/>
  <c r="I178" i="3"/>
  <c r="J178" i="3"/>
  <c r="M178" i="3"/>
  <c r="N178" i="3" s="1"/>
  <c r="V178" i="3"/>
  <c r="AE178" i="3"/>
  <c r="W178" i="3" l="1"/>
  <c r="L178" i="3"/>
  <c r="U178" i="3" l="1"/>
  <c r="E179" i="3" s="1"/>
  <c r="H179" i="3" s="1"/>
  <c r="AG179" i="3"/>
  <c r="AH179" i="3"/>
  <c r="Y177" i="3"/>
  <c r="D179" i="3" l="1"/>
  <c r="G179" i="3" s="1"/>
  <c r="K179" i="3"/>
  <c r="F179" i="3" l="1"/>
  <c r="V179" i="3"/>
  <c r="AE179" i="3"/>
  <c r="I179" i="3"/>
  <c r="J179" i="3"/>
  <c r="M179" i="3"/>
  <c r="N179" i="3" s="1"/>
  <c r="W179" i="3" l="1"/>
  <c r="L179" i="3"/>
  <c r="AG180" i="3" l="1"/>
  <c r="U179" i="3"/>
  <c r="D180" i="3" s="1"/>
  <c r="AH180" i="3"/>
  <c r="Y178" i="3"/>
  <c r="E180" i="3" l="1"/>
  <c r="H180" i="3" s="1"/>
  <c r="K180" i="3" s="1"/>
  <c r="G180" i="3"/>
  <c r="F180" i="3" l="1"/>
  <c r="I180" i="3"/>
  <c r="J180" i="3"/>
  <c r="M180" i="3"/>
  <c r="N180" i="3" s="1"/>
  <c r="V180" i="3"/>
  <c r="AE180" i="3"/>
  <c r="L180" i="3" l="1"/>
  <c r="W180" i="3"/>
  <c r="U180" i="3" l="1"/>
  <c r="E181" i="3" s="1"/>
  <c r="H181" i="3" s="1"/>
  <c r="AH181" i="3"/>
  <c r="AG181" i="3"/>
  <c r="Y179" i="3"/>
  <c r="D181" i="3" l="1"/>
  <c r="G181" i="3" s="1"/>
  <c r="K181" i="3"/>
  <c r="F181" i="3" l="1"/>
  <c r="I181" i="3"/>
  <c r="J181" i="3"/>
  <c r="M181" i="3"/>
  <c r="N181" i="3" s="1"/>
  <c r="V181" i="3"/>
  <c r="AE181" i="3"/>
  <c r="W181" i="3" l="1"/>
  <c r="L181" i="3"/>
  <c r="AH182" i="3" l="1"/>
  <c r="U181" i="3"/>
  <c r="E182" i="3" s="1"/>
  <c r="H182" i="3" s="1"/>
  <c r="AG182" i="3"/>
  <c r="Y180" i="3"/>
  <c r="K182" i="3" l="1"/>
  <c r="D182" i="3"/>
  <c r="V182" i="3" l="1"/>
  <c r="AE182" i="3"/>
  <c r="F182" i="3"/>
  <c r="G182" i="3"/>
  <c r="I182" i="3" l="1"/>
  <c r="W182" i="3" s="1"/>
  <c r="J182" i="3"/>
  <c r="M182" i="3"/>
  <c r="N182" i="3" s="1"/>
  <c r="L182" i="3" l="1"/>
  <c r="U182" i="3" l="1"/>
  <c r="E183" i="3" s="1"/>
  <c r="H183" i="3" s="1"/>
  <c r="AH183" i="3"/>
  <c r="AG183" i="3"/>
  <c r="Y181" i="3"/>
  <c r="D183" i="3" l="1"/>
  <c r="G183" i="3" s="1"/>
  <c r="K183" i="3"/>
  <c r="F183" i="3" l="1"/>
  <c r="I183" i="3"/>
  <c r="J183" i="3"/>
  <c r="M183" i="3"/>
  <c r="N183" i="3" s="1"/>
  <c r="V183" i="3"/>
  <c r="AE183" i="3"/>
  <c r="W183" i="3" l="1"/>
  <c r="L183" i="3"/>
  <c r="U183" i="3" l="1"/>
  <c r="D184" i="3" s="1"/>
  <c r="AG184" i="3"/>
  <c r="AH184" i="3"/>
  <c r="Y182" i="3"/>
  <c r="G184" i="3" l="1"/>
  <c r="E184" i="3"/>
  <c r="H184" i="3" s="1"/>
  <c r="K184" i="3" l="1"/>
  <c r="I184" i="3"/>
  <c r="J184" i="3"/>
  <c r="M184" i="3"/>
  <c r="N184" i="3" s="1"/>
  <c r="F184" i="3"/>
  <c r="V184" i="3" l="1"/>
  <c r="W184" i="3" s="1"/>
  <c r="AE184" i="3"/>
  <c r="L184" i="3"/>
  <c r="AH185" i="3" l="1"/>
  <c r="AG185" i="3"/>
  <c r="U184" i="3"/>
  <c r="D185" i="3" s="1"/>
  <c r="Y183" i="3"/>
  <c r="E185" i="3" l="1"/>
  <c r="H185" i="3" s="1"/>
  <c r="K185" i="3" s="1"/>
  <c r="G185" i="3"/>
  <c r="F185" i="3" l="1"/>
  <c r="I185" i="3"/>
  <c r="J185" i="3"/>
  <c r="M185" i="3"/>
  <c r="N185" i="3" s="1"/>
  <c r="V185" i="3"/>
  <c r="AE185" i="3"/>
  <c r="W185" i="3" l="1"/>
  <c r="L185" i="3"/>
  <c r="U185" i="3" l="1"/>
  <c r="E186" i="3" s="1"/>
  <c r="H186" i="3" s="1"/>
  <c r="AH186" i="3"/>
  <c r="AG186" i="3"/>
  <c r="Y184" i="3"/>
  <c r="D186" i="3" l="1"/>
  <c r="G186" i="3" s="1"/>
  <c r="K186" i="3"/>
  <c r="F186" i="3" l="1"/>
  <c r="V186" i="3"/>
  <c r="AE186" i="3"/>
  <c r="I186" i="3"/>
  <c r="J186" i="3"/>
  <c r="M186" i="3"/>
  <c r="N186" i="3" s="1"/>
  <c r="L186" i="3" l="1"/>
  <c r="W186" i="3"/>
  <c r="AG187" i="3" l="1"/>
  <c r="AH187" i="3"/>
  <c r="U186" i="3"/>
  <c r="D187" i="3" s="1"/>
  <c r="Y185" i="3"/>
  <c r="G187" i="3" l="1"/>
  <c r="E187" i="3"/>
  <c r="H187" i="3" s="1"/>
  <c r="I187" i="3" l="1"/>
  <c r="J187" i="3"/>
  <c r="M187" i="3"/>
  <c r="N187" i="3" s="1"/>
  <c r="F187" i="3"/>
  <c r="K187" i="3"/>
  <c r="L187" i="3" l="1"/>
  <c r="V187" i="3"/>
  <c r="W187" i="3" s="1"/>
  <c r="AE187" i="3"/>
  <c r="AG188" i="3" l="1"/>
  <c r="U187" i="3"/>
  <c r="E188" i="3" s="1"/>
  <c r="H188" i="3" s="1"/>
  <c r="AH188" i="3"/>
  <c r="Y186" i="3"/>
  <c r="D188" i="3" l="1"/>
  <c r="G188" i="3" s="1"/>
  <c r="K188" i="3"/>
  <c r="F188" i="3" l="1"/>
  <c r="I188" i="3"/>
  <c r="J188" i="3"/>
  <c r="M188" i="3"/>
  <c r="N188" i="3" s="1"/>
  <c r="V188" i="3"/>
  <c r="AE188" i="3"/>
  <c r="W188" i="3" l="1"/>
  <c r="L188" i="3"/>
  <c r="U188" i="3" l="1"/>
  <c r="E189" i="3" s="1"/>
  <c r="H189" i="3" s="1"/>
  <c r="AH189" i="3"/>
  <c r="AG189" i="3"/>
  <c r="Y187" i="3"/>
  <c r="D189" i="3" l="1"/>
  <c r="G189" i="3" s="1"/>
  <c r="K189" i="3"/>
  <c r="F189" i="3" l="1"/>
  <c r="I189" i="3"/>
  <c r="J189" i="3"/>
  <c r="M189" i="3"/>
  <c r="N189" i="3" s="1"/>
  <c r="V189" i="3"/>
  <c r="AE189" i="3"/>
  <c r="W189" i="3" l="1"/>
  <c r="L189" i="3"/>
  <c r="AH190" i="3" l="1"/>
  <c r="U189" i="3"/>
  <c r="D190" i="3" s="1"/>
  <c r="AG190" i="3"/>
  <c r="Y188" i="3"/>
  <c r="G190" i="3" l="1"/>
  <c r="E190" i="3"/>
  <c r="H190" i="3" s="1"/>
  <c r="K190" i="3" l="1"/>
  <c r="I190" i="3"/>
  <c r="J190" i="3"/>
  <c r="M190" i="3"/>
  <c r="N190" i="3" s="1"/>
  <c r="F190" i="3"/>
  <c r="L190" i="3" l="1"/>
  <c r="V190" i="3"/>
  <c r="W190" i="3" s="1"/>
  <c r="AE190" i="3"/>
  <c r="AG191" i="3" l="1"/>
  <c r="U190" i="3"/>
  <c r="E191" i="3" s="1"/>
  <c r="H191" i="3" s="1"/>
  <c r="AH191" i="3"/>
  <c r="Y189" i="3"/>
  <c r="K191" i="3" l="1"/>
  <c r="D191" i="3"/>
  <c r="V191" i="3" l="1"/>
  <c r="AE191" i="3"/>
  <c r="F191" i="3"/>
  <c r="G191" i="3"/>
  <c r="I191" i="3" l="1"/>
  <c r="W191" i="3" s="1"/>
  <c r="J191" i="3"/>
  <c r="M191" i="3"/>
  <c r="N191" i="3" s="1"/>
  <c r="L191" i="3" l="1"/>
  <c r="AG192" i="3" l="1"/>
  <c r="U191" i="3"/>
  <c r="E192" i="3" s="1"/>
  <c r="H192" i="3" s="1"/>
  <c r="AH192" i="3"/>
  <c r="Y190" i="3"/>
  <c r="D192" i="3" l="1"/>
  <c r="G192" i="3" s="1"/>
  <c r="K192" i="3"/>
  <c r="F192" i="3" l="1"/>
  <c r="I192" i="3"/>
  <c r="J192" i="3"/>
  <c r="M192" i="3"/>
  <c r="N192" i="3" s="1"/>
  <c r="V192" i="3"/>
  <c r="AE192" i="3"/>
  <c r="W192" i="3" l="1"/>
  <c r="L192" i="3"/>
  <c r="U192" i="3" l="1"/>
  <c r="D193" i="3" s="1"/>
  <c r="AG193" i="3"/>
  <c r="AH193" i="3"/>
  <c r="Y191" i="3"/>
  <c r="G193" i="3" l="1"/>
  <c r="E193" i="3"/>
  <c r="H193" i="3" s="1"/>
  <c r="K193" i="3" l="1"/>
  <c r="I193" i="3"/>
  <c r="J193" i="3"/>
  <c r="M193" i="3"/>
  <c r="N193" i="3" s="1"/>
  <c r="F193" i="3"/>
  <c r="L193" i="3" l="1"/>
  <c r="V193" i="3"/>
  <c r="W193" i="3" s="1"/>
  <c r="AE193" i="3"/>
  <c r="AH194" i="3" l="1"/>
  <c r="AG194" i="3"/>
  <c r="U193" i="3"/>
  <c r="D194" i="3" s="1"/>
  <c r="Y192" i="3"/>
  <c r="E194" i="3" l="1"/>
  <c r="H194" i="3" s="1"/>
  <c r="K194" i="3" s="1"/>
  <c r="G194" i="3"/>
  <c r="F194" i="3" l="1"/>
  <c r="V194" i="3"/>
  <c r="AE194" i="3"/>
  <c r="I194" i="3"/>
  <c r="J194" i="3"/>
  <c r="M194" i="3"/>
  <c r="N194" i="3" s="1"/>
  <c r="W194" i="3" l="1"/>
  <c r="L194" i="3"/>
  <c r="U194" i="3" l="1"/>
  <c r="D195" i="3" s="1"/>
  <c r="AH195" i="3"/>
  <c r="AG195" i="3"/>
  <c r="Y193" i="3"/>
  <c r="E195" i="3" l="1"/>
  <c r="H195" i="3" s="1"/>
  <c r="K195" i="3" s="1"/>
  <c r="G195" i="3"/>
  <c r="F195" i="3" l="1"/>
  <c r="V195" i="3"/>
  <c r="AE195" i="3"/>
  <c r="I195" i="3"/>
  <c r="J195" i="3"/>
  <c r="M195" i="3"/>
  <c r="N195" i="3" s="1"/>
  <c r="W195" i="3" l="1"/>
  <c r="L195" i="3"/>
  <c r="AH196" i="3" l="1"/>
  <c r="U195" i="3"/>
  <c r="D196" i="3" s="1"/>
  <c r="AG196" i="3"/>
  <c r="Y194" i="3"/>
  <c r="E196" i="3" l="1"/>
  <c r="H196" i="3" s="1"/>
  <c r="K196" i="3" s="1"/>
  <c r="G196" i="3"/>
  <c r="F196" i="3" l="1"/>
  <c r="I196" i="3"/>
  <c r="J196" i="3"/>
  <c r="M196" i="3"/>
  <c r="N196" i="3" s="1"/>
  <c r="V196" i="3"/>
  <c r="AE196" i="3"/>
  <c r="L196" i="3" l="1"/>
  <c r="W196" i="3"/>
  <c r="U196" i="3" l="1"/>
  <c r="E197" i="3" s="1"/>
  <c r="H197" i="3" s="1"/>
  <c r="AG197" i="3"/>
  <c r="AH197" i="3"/>
  <c r="Y195" i="3"/>
  <c r="D197" i="3" l="1"/>
  <c r="G197" i="3" s="1"/>
  <c r="K197" i="3"/>
  <c r="F197" i="3" l="1"/>
  <c r="I197" i="3"/>
  <c r="J197" i="3"/>
  <c r="M197" i="3"/>
  <c r="N197" i="3" s="1"/>
  <c r="V197" i="3"/>
  <c r="AE197" i="3"/>
  <c r="W197" i="3" l="1"/>
  <c r="L197" i="3"/>
  <c r="AG198" i="3" l="1"/>
  <c r="AH198" i="3"/>
  <c r="U197" i="3"/>
  <c r="E198" i="3" s="1"/>
  <c r="H198" i="3" s="1"/>
  <c r="Y196" i="3"/>
  <c r="K198" i="3" l="1"/>
  <c r="D198" i="3"/>
  <c r="V198" i="3" l="1"/>
  <c r="AE198" i="3"/>
  <c r="F198" i="3"/>
  <c r="G198" i="3"/>
  <c r="I198" i="3" l="1"/>
  <c r="W198" i="3" s="1"/>
  <c r="J198" i="3"/>
  <c r="M198" i="3"/>
  <c r="N198" i="3" s="1"/>
  <c r="L198" i="3" l="1"/>
  <c r="AG199" i="3" l="1"/>
  <c r="U198" i="3"/>
  <c r="E199" i="3" s="1"/>
  <c r="H199" i="3" s="1"/>
  <c r="AH199" i="3"/>
  <c r="Y197" i="3"/>
  <c r="K199" i="3" l="1"/>
  <c r="D199" i="3"/>
  <c r="V199" i="3" l="1"/>
  <c r="AE199" i="3"/>
  <c r="F199" i="3"/>
  <c r="G199" i="3"/>
  <c r="I199" i="3" l="1"/>
  <c r="W199" i="3" s="1"/>
  <c r="J199" i="3"/>
  <c r="M199" i="3"/>
  <c r="N199" i="3" s="1"/>
  <c r="L199" i="3" l="1"/>
  <c r="AH200" i="3" l="1"/>
  <c r="AG200" i="3"/>
  <c r="U199" i="3"/>
  <c r="E200" i="3" s="1"/>
  <c r="H200" i="3" s="1"/>
  <c r="Y198" i="3"/>
  <c r="K200" i="3" l="1"/>
  <c r="D200" i="3"/>
  <c r="V200" i="3" l="1"/>
  <c r="AE200" i="3"/>
  <c r="F200" i="3"/>
  <c r="G200" i="3"/>
  <c r="I200" i="3" l="1"/>
  <c r="W200" i="3" s="1"/>
  <c r="J200" i="3"/>
  <c r="M200" i="3"/>
  <c r="N200" i="3" s="1"/>
  <c r="L200" i="3" l="1"/>
  <c r="AG201" i="3" l="1"/>
  <c r="U200" i="3"/>
  <c r="E201" i="3" s="1"/>
  <c r="H201" i="3" s="1"/>
  <c r="AH201" i="3"/>
  <c r="Y199" i="3"/>
  <c r="D201" i="3" l="1"/>
  <c r="G201" i="3" s="1"/>
  <c r="K201" i="3"/>
  <c r="F201" i="3" l="1"/>
  <c r="I201" i="3"/>
  <c r="J201" i="3"/>
  <c r="M201" i="3"/>
  <c r="N201" i="3" s="1"/>
  <c r="V201" i="3"/>
  <c r="AE201" i="3"/>
  <c r="W201" i="3" l="1"/>
  <c r="L201" i="3"/>
  <c r="U201" i="3" l="1"/>
  <c r="E202" i="3" s="1"/>
  <c r="H202" i="3" s="1"/>
  <c r="AG202" i="3"/>
  <c r="AH202" i="3"/>
  <c r="Y200" i="3"/>
  <c r="D202" i="3" l="1"/>
  <c r="G202" i="3" s="1"/>
  <c r="K202" i="3"/>
  <c r="F202" i="3" l="1"/>
  <c r="V202" i="3"/>
  <c r="AE202" i="3"/>
  <c r="I202" i="3"/>
  <c r="J202" i="3"/>
  <c r="M202" i="3"/>
  <c r="N202" i="3" s="1"/>
  <c r="W202" i="3" l="1"/>
  <c r="L202" i="3"/>
  <c r="U202" i="3" l="1"/>
  <c r="E203" i="3" s="1"/>
  <c r="H203" i="3" s="1"/>
  <c r="AH203" i="3"/>
  <c r="AG203" i="3"/>
  <c r="Y201" i="3"/>
  <c r="D203" i="3" l="1"/>
  <c r="G203" i="3" s="1"/>
  <c r="K203" i="3"/>
  <c r="F203" i="3" l="1"/>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AD207" i="3"/>
  <c r="P207" i="3"/>
  <c r="Q207" i="3" s="1"/>
  <c r="R207" i="3" s="1"/>
  <c r="S207" i="3" s="1"/>
  <c r="AC207" i="3"/>
  <c r="Z207" i="3"/>
  <c r="AA207" i="3"/>
  <c r="T207" i="3" l="1"/>
  <c r="U206" i="3"/>
  <c r="Y205" i="3"/>
  <c r="D207" i="3" l="1"/>
  <c r="G207" i="3" s="1"/>
  <c r="AH207" i="3"/>
  <c r="E207" i="3"/>
  <c r="H207" i="3" s="1"/>
  <c r="AG207" i="3"/>
  <c r="F207" i="3" l="1"/>
  <c r="I207" i="3"/>
  <c r="J207" i="3"/>
  <c r="M207" i="3"/>
  <c r="N207" i="3" s="1"/>
  <c r="K207" i="3"/>
  <c r="V207" i="3" l="1"/>
  <c r="W207" i="3" s="1"/>
  <c r="AE207" i="3"/>
  <c r="A208" i="3"/>
  <c r="B208" i="3" s="1"/>
  <c r="L207" i="3"/>
  <c r="Z208" i="3" l="1"/>
  <c r="AC208" i="3"/>
  <c r="AA208" i="3"/>
  <c r="P208" i="3"/>
  <c r="Q208" i="3" s="1"/>
  <c r="R208" i="3" s="1"/>
  <c r="S208" i="3" s="1"/>
  <c r="AD208" i="3"/>
  <c r="U207" i="3"/>
  <c r="Y206" i="3"/>
  <c r="T208" i="3" l="1"/>
  <c r="AG208" i="3" s="1"/>
  <c r="AH208" i="3" l="1"/>
  <c r="D208" i="3"/>
  <c r="G208" i="3" s="1"/>
  <c r="E208" i="3"/>
  <c r="H208" i="3" s="1"/>
  <c r="K208" i="3" s="1"/>
  <c r="F208" i="3" l="1"/>
  <c r="I208" i="3"/>
  <c r="J208" i="3"/>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AD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AD217" i="3"/>
  <c r="T217" i="3" l="1"/>
  <c r="D217" i="3" s="1"/>
  <c r="G217" i="3" l="1"/>
  <c r="AG217" i="3"/>
  <c r="AH217" i="3"/>
  <c r="E217" i="3"/>
  <c r="H217" i="3" s="1"/>
  <c r="I217" i="3" l="1"/>
  <c r="J217" i="3"/>
  <c r="M217" i="3"/>
  <c r="N217" i="3" s="1"/>
  <c r="K217" i="3"/>
  <c r="AE217" i="3" s="1"/>
  <c r="F217" i="3"/>
  <c r="V217" i="3" l="1"/>
  <c r="W217" i="3" s="1"/>
  <c r="A218" i="3"/>
  <c r="B218" i="3" s="1"/>
  <c r="L217" i="3"/>
  <c r="U217" i="3" l="1"/>
  <c r="Y216" i="3"/>
  <c r="AC218" i="3"/>
  <c r="AA218" i="3"/>
  <c r="Z218" i="3"/>
  <c r="P218" i="3"/>
  <c r="Q218" i="3" s="1"/>
  <c r="R218" i="3" s="1"/>
  <c r="S218" i="3" s="1"/>
  <c r="AD218" i="3"/>
  <c r="T218" i="3" l="1"/>
  <c r="AG218" i="3" s="1"/>
  <c r="AH218" i="3" l="1"/>
  <c r="E218" i="3"/>
  <c r="H218" i="3" s="1"/>
  <c r="K218" i="3" s="1"/>
  <c r="AE218" i="3" s="1"/>
  <c r="D218" i="3"/>
  <c r="G218" i="3" s="1"/>
  <c r="F218" i="3" l="1"/>
  <c r="I218" i="3"/>
  <c r="J218" i="3"/>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D227" i="3"/>
  <c r="AC227" i="3"/>
  <c r="T227" i="3" l="1"/>
  <c r="D227" i="3" s="1"/>
  <c r="E227" i="3" l="1"/>
  <c r="H227" i="3" s="1"/>
  <c r="K227" i="3" s="1"/>
  <c r="AE227" i="3" s="1"/>
  <c r="AH227" i="3"/>
  <c r="AG227" i="3"/>
  <c r="G227" i="3"/>
  <c r="F227" i="3" l="1"/>
  <c r="V227" i="3"/>
  <c r="A228" i="3"/>
  <c r="B228" i="3" s="1"/>
  <c r="I227" i="3"/>
  <c r="J227" i="3"/>
  <c r="M227" i="3"/>
  <c r="N227" i="3" s="1"/>
  <c r="L227" i="3" l="1"/>
  <c r="W227" i="3"/>
  <c r="AD228"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D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L237" i="3" s="1"/>
  <c r="P238" i="3"/>
  <c r="Q238" i="3" s="1"/>
  <c r="R238" i="3" s="1"/>
  <c r="S238" i="3" s="1"/>
  <c r="Z238" i="3"/>
  <c r="AC238" i="3"/>
  <c r="AA238" i="3"/>
  <c r="AD238" i="3"/>
  <c r="T238" i="3" l="1"/>
  <c r="AG238" i="3" s="1"/>
  <c r="U237" i="3"/>
  <c r="Y236" i="3"/>
  <c r="AH238" i="3" l="1"/>
  <c r="E238" i="3"/>
  <c r="H238" i="3" s="1"/>
  <c r="K238" i="3" s="1"/>
  <c r="AE238" i="3" s="1"/>
  <c r="D238" i="3"/>
  <c r="F238" i="3" l="1"/>
  <c r="G238" i="3"/>
  <c r="M238" i="3" s="1"/>
  <c r="N238" i="3" s="1"/>
  <c r="V238" i="3"/>
  <c r="A239" i="3"/>
  <c r="B239" i="3" s="1"/>
  <c r="I238" i="3" l="1"/>
  <c r="W238" i="3" s="1"/>
  <c r="J238" i="3"/>
  <c r="L238" i="3" s="1"/>
  <c r="AD239" i="3"/>
  <c r="P239" i="3"/>
  <c r="Q239" i="3" s="1"/>
  <c r="R239" i="3" s="1"/>
  <c r="S239" i="3" s="1"/>
  <c r="AC239" i="3"/>
  <c r="Z239" i="3"/>
  <c r="AA239" i="3"/>
  <c r="T239" i="3" l="1"/>
  <c r="U238" i="3"/>
  <c r="Y237" i="3"/>
  <c r="D239" i="3" l="1"/>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AD247" i="3"/>
  <c r="U246" i="3" l="1"/>
  <c r="Y245" i="3"/>
  <c r="T247" i="3"/>
  <c r="AG247" i="3" s="1"/>
  <c r="AH247" i="3" l="1"/>
  <c r="D247" i="3"/>
  <c r="E247" i="3"/>
  <c r="H247" i="3" s="1"/>
  <c r="K247" i="3" s="1"/>
  <c r="AE247" i="3" s="1"/>
  <c r="F247" i="3" l="1"/>
  <c r="G247" i="3"/>
  <c r="M247" i="3" s="1"/>
  <c r="N247" i="3" s="1"/>
  <c r="V247" i="3"/>
  <c r="A248" i="3"/>
  <c r="B248" i="3" s="1"/>
  <c r="I247" i="3" l="1"/>
  <c r="W247" i="3" s="1"/>
  <c r="J247" i="3"/>
  <c r="L247" i="3" s="1"/>
  <c r="Z248" i="3"/>
  <c r="P248" i="3"/>
  <c r="Q248" i="3" s="1"/>
  <c r="R248" i="3" s="1"/>
  <c r="S248" i="3" s="1"/>
  <c r="AA248" i="3"/>
  <c r="AC248" i="3"/>
  <c r="AD248" i="3"/>
  <c r="U247" i="3" l="1"/>
  <c r="Y246" i="3"/>
  <c r="T248" i="3"/>
  <c r="AG248" i="3" s="1"/>
  <c r="E248" i="3" l="1"/>
  <c r="H248" i="3" s="1"/>
  <c r="K248" i="3" s="1"/>
  <c r="AE248" i="3" s="1"/>
  <c r="AH248" i="3"/>
  <c r="D248" i="3"/>
  <c r="G248" i="3" s="1"/>
  <c r="F248" i="3" l="1"/>
  <c r="I248" i="3"/>
  <c r="J248" i="3"/>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D257"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M257" i="3"/>
  <c r="N257" i="3" s="1"/>
  <c r="W257" i="3" l="1"/>
  <c r="L257" i="3"/>
  <c r="AC258" i="3"/>
  <c r="AD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AD267" i="3"/>
  <c r="T267" i="3" l="1"/>
  <c r="L266" i="3"/>
  <c r="AH267" i="3" l="1"/>
  <c r="AG267" i="3"/>
  <c r="U266" i="3"/>
  <c r="E267" i="3" s="1"/>
  <c r="H267" i="3" s="1"/>
  <c r="Y265" i="3"/>
  <c r="K267" i="3" l="1"/>
  <c r="AE267" i="3" s="1"/>
  <c r="D267" i="3"/>
  <c r="V267" i="3" l="1"/>
  <c r="A268" i="3"/>
  <c r="B268" i="3" s="1"/>
  <c r="F267" i="3"/>
  <c r="G267" i="3"/>
  <c r="I267" i="3" l="1"/>
  <c r="W267" i="3" s="1"/>
  <c r="J267" i="3"/>
  <c r="M267" i="3"/>
  <c r="N267" i="3" s="1"/>
  <c r="AC268" i="3"/>
  <c r="P268" i="3"/>
  <c r="Q268" i="3" s="1"/>
  <c r="R268" i="3" s="1"/>
  <c r="S268" i="3" s="1"/>
  <c r="Z268" i="3"/>
  <c r="AA268" i="3"/>
  <c r="AD268" i="3"/>
  <c r="T268" i="3" l="1"/>
  <c r="L267" i="3"/>
  <c r="U267" i="3" l="1"/>
  <c r="E268" i="3" s="1"/>
  <c r="H268" i="3" s="1"/>
  <c r="AH268" i="3"/>
  <c r="AG268" i="3"/>
  <c r="Y266" i="3"/>
  <c r="K268" i="3" l="1"/>
  <c r="AE268" i="3" s="1"/>
  <c r="D268" i="3"/>
  <c r="V268" i="3" l="1"/>
  <c r="A269" i="3"/>
  <c r="B269" i="3" s="1"/>
  <c r="F268" i="3"/>
  <c r="G268" i="3"/>
  <c r="I268" i="3" l="1"/>
  <c r="W268" i="3" s="1"/>
  <c r="J268" i="3"/>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D277" i="3"/>
  <c r="AA277" i="3"/>
  <c r="U276" i="3" l="1"/>
  <c r="Y275" i="3"/>
  <c r="T277" i="3"/>
  <c r="AG277" i="3" s="1"/>
  <c r="D277" i="3" l="1"/>
  <c r="G277" i="3" s="1"/>
  <c r="E277" i="3"/>
  <c r="H277" i="3" s="1"/>
  <c r="K277" i="3" s="1"/>
  <c r="AE277" i="3" s="1"/>
  <c r="AH277" i="3"/>
  <c r="F277" i="3" l="1"/>
  <c r="V277" i="3"/>
  <c r="A278" i="3"/>
  <c r="B278" i="3" s="1"/>
  <c r="I277" i="3"/>
  <c r="J277" i="3"/>
  <c r="M277" i="3"/>
  <c r="N277" i="3" s="1"/>
  <c r="W277" i="3" l="1"/>
  <c r="L277" i="3"/>
  <c r="AD278"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D287" i="3"/>
  <c r="AC287" i="3"/>
  <c r="T287" i="3" l="1"/>
  <c r="D287" i="3" s="1"/>
  <c r="G287" i="3" l="1"/>
  <c r="AH287" i="3"/>
  <c r="AG287" i="3"/>
  <c r="E287" i="3"/>
  <c r="H287" i="3" s="1"/>
  <c r="F287" i="3" l="1"/>
  <c r="K287" i="3"/>
  <c r="AE287" i="3" s="1"/>
  <c r="I287" i="3"/>
  <c r="J287" i="3"/>
  <c r="M287" i="3"/>
  <c r="N287" i="3" s="1"/>
  <c r="L287" i="3" l="1"/>
  <c r="V287" i="3"/>
  <c r="W287" i="3" s="1"/>
  <c r="A288" i="3"/>
  <c r="B288" i="3" s="1"/>
  <c r="U287" i="3" l="1"/>
  <c r="Y286" i="3"/>
  <c r="P288" i="3"/>
  <c r="Q288" i="3" s="1"/>
  <c r="R288" i="3" s="1"/>
  <c r="S288" i="3" s="1"/>
  <c r="AA288" i="3"/>
  <c r="AC288" i="3"/>
  <c r="AD288" i="3"/>
  <c r="Z288" i="3"/>
  <c r="T288" i="3" l="1"/>
  <c r="D288" i="3" s="1"/>
  <c r="AG288" i="3" l="1"/>
  <c r="AH288" i="3"/>
  <c r="E288" i="3"/>
  <c r="H288" i="3" s="1"/>
  <c r="K288" i="3" s="1"/>
  <c r="AE288" i="3" s="1"/>
  <c r="G288" i="3"/>
  <c r="F288" i="3" l="1"/>
  <c r="I288" i="3"/>
  <c r="J288" i="3"/>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AD297" i="3"/>
  <c r="T297" i="3" l="1"/>
  <c r="E297" i="3" s="1"/>
  <c r="H297" i="3" s="1"/>
  <c r="D297" i="3" l="1"/>
  <c r="F297" i="3" s="1"/>
  <c r="AG297" i="3"/>
  <c r="K297" i="3"/>
  <c r="AE297" i="3" s="1"/>
  <c r="AH297" i="3"/>
  <c r="G297" i="3" l="1"/>
  <c r="M297" i="3" s="1"/>
  <c r="N297" i="3" s="1"/>
  <c r="V297" i="3"/>
  <c r="A298" i="3"/>
  <c r="B298" i="3" s="1"/>
  <c r="J297" i="3" l="1"/>
  <c r="L297" i="3" s="1"/>
  <c r="I297" i="3"/>
  <c r="W297" i="3" s="1"/>
  <c r="Z298" i="3"/>
  <c r="AD298" i="3"/>
  <c r="P298" i="3"/>
  <c r="Q298" i="3" s="1"/>
  <c r="R298" i="3" s="1"/>
  <c r="S298" i="3" s="1"/>
  <c r="AA298" i="3"/>
  <c r="AC298" i="3"/>
  <c r="T298" i="3" l="1"/>
  <c r="U297" i="3"/>
  <c r="Y296" i="3"/>
  <c r="E298" i="3" l="1"/>
  <c r="H298" i="3" s="1"/>
  <c r="K298" i="3" s="1"/>
  <c r="AE298" i="3" s="1"/>
  <c r="AH298" i="3"/>
  <c r="D298" i="3"/>
  <c r="AG298" i="3"/>
  <c r="F298" i="3" l="1"/>
  <c r="G298" i="3"/>
  <c r="V298" i="3"/>
  <c r="A299" i="3"/>
  <c r="B299" i="3" s="1"/>
  <c r="I298" i="3" l="1"/>
  <c r="W298" i="3" s="1"/>
  <c r="J298" i="3"/>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AD307" i="3"/>
  <c r="T307" i="3" l="1"/>
  <c r="AH307" i="3" s="1"/>
  <c r="U306" i="3"/>
  <c r="Y305" i="3"/>
  <c r="D307" i="3" l="1"/>
  <c r="E307" i="3"/>
  <c r="H307" i="3" s="1"/>
  <c r="AG307" i="3"/>
  <c r="F307" i="3" l="1"/>
  <c r="G307" i="3"/>
  <c r="K307" i="3"/>
  <c r="AE307" i="3" s="1"/>
  <c r="I307" i="3" l="1"/>
  <c r="J307" i="3"/>
  <c r="M307" i="3"/>
  <c r="N307" i="3" s="1"/>
  <c r="V307" i="3"/>
  <c r="A308" i="3"/>
  <c r="B308" i="3" s="1"/>
  <c r="L307" i="3" l="1"/>
  <c r="Z308" i="3"/>
  <c r="AD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D317" i="3"/>
  <c r="AC317" i="3"/>
  <c r="T317" i="3" l="1"/>
  <c r="AG317" i="3" s="1"/>
  <c r="U316" i="3"/>
  <c r="Y315" i="3"/>
  <c r="E317" i="3" l="1"/>
  <c r="H317" i="3" s="1"/>
  <c r="K317" i="3" s="1"/>
  <c r="AE317" i="3" s="1"/>
  <c r="D317" i="3"/>
  <c r="AH317" i="3"/>
  <c r="V317" i="3" l="1"/>
  <c r="A318" i="3"/>
  <c r="B318" i="3" s="1"/>
  <c r="F317" i="3"/>
  <c r="G317" i="3"/>
  <c r="I317" i="3" l="1"/>
  <c r="W317" i="3" s="1"/>
  <c r="J317" i="3"/>
  <c r="M317" i="3"/>
  <c r="N317" i="3" s="1"/>
  <c r="AA318" i="3"/>
  <c r="P318" i="3"/>
  <c r="Q318" i="3" s="1"/>
  <c r="R318" i="3" s="1"/>
  <c r="S318" i="3" s="1"/>
  <c r="Z318" i="3"/>
  <c r="AC318" i="3"/>
  <c r="AD318" i="3"/>
  <c r="T318" i="3" l="1"/>
  <c r="L317" i="3"/>
  <c r="AH318" i="3" l="1"/>
  <c r="AG318" i="3"/>
  <c r="U317" i="3"/>
  <c r="E318" i="3" s="1"/>
  <c r="H318" i="3" s="1"/>
  <c r="Y316" i="3"/>
  <c r="K318" i="3" l="1"/>
  <c r="AE318" i="3" s="1"/>
  <c r="D318" i="3"/>
  <c r="V318" i="3" l="1"/>
  <c r="A319" i="3"/>
  <c r="B319" i="3" s="1"/>
  <c r="F318" i="3"/>
  <c r="G318" i="3"/>
  <c r="I318" i="3" l="1"/>
  <c r="W318" i="3" s="1"/>
  <c r="J318" i="3"/>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D345" i="3"/>
  <c r="AA345" i="3"/>
  <c r="L344" i="3"/>
  <c r="T345" i="3" l="1"/>
  <c r="U344" i="3"/>
  <c r="Y343" i="3"/>
  <c r="E345" i="3" l="1"/>
  <c r="H345" i="3" s="1"/>
  <c r="K345" i="3" s="1"/>
  <c r="AE345" i="3" s="1"/>
  <c r="AH345" i="3"/>
  <c r="D345" i="3"/>
  <c r="AG345" i="3"/>
  <c r="F345" i="3" l="1"/>
  <c r="G345" i="3"/>
  <c r="V345" i="3"/>
  <c r="A346" i="3"/>
  <c r="B346" i="3" s="1"/>
  <c r="AD346" i="3" l="1"/>
  <c r="AC346" i="3"/>
  <c r="P346" i="3"/>
  <c r="Q346" i="3" s="1"/>
  <c r="R346" i="3" s="1"/>
  <c r="S346" i="3" s="1"/>
  <c r="AA346" i="3"/>
  <c r="Z346" i="3"/>
  <c r="I345" i="3"/>
  <c r="W345" i="3" s="1"/>
  <c r="J345" i="3"/>
  <c r="M345" i="3"/>
  <c r="N345" i="3" s="1"/>
  <c r="L345" i="3" l="1"/>
  <c r="T346" i="3"/>
  <c r="AH346" i="3" l="1"/>
  <c r="AG346" i="3"/>
  <c r="U345" i="3"/>
  <c r="D346" i="3" s="1"/>
  <c r="Y344" i="3"/>
  <c r="G346" i="3" l="1"/>
  <c r="E346" i="3"/>
  <c r="H346" i="3" s="1"/>
  <c r="F346" i="3" l="1"/>
  <c r="I346" i="3"/>
  <c r="J346" i="3"/>
  <c r="M346" i="3"/>
  <c r="N346" i="3" s="1"/>
  <c r="K346" i="3"/>
  <c r="AE346" i="3" s="1"/>
  <c r="V346" i="3" l="1"/>
  <c r="W346" i="3" s="1"/>
  <c r="A347" i="3"/>
  <c r="B347" i="3" s="1"/>
  <c r="L346" i="3"/>
  <c r="U346" i="3" l="1"/>
  <c r="Y345" i="3"/>
  <c r="AC347" i="3"/>
  <c r="Z347" i="3"/>
  <c r="AA347" i="3"/>
  <c r="P347" i="3"/>
  <c r="Q347" i="3" s="1"/>
  <c r="R347" i="3" s="1"/>
  <c r="S347" i="3" s="1"/>
  <c r="AD347" i="3"/>
  <c r="T347" i="3" l="1"/>
  <c r="E347" i="3" s="1"/>
  <c r="H347" i="3" s="1"/>
  <c r="K347" i="3" l="1"/>
  <c r="AE347" i="3" s="1"/>
  <c r="AH347" i="3"/>
  <c r="AG347" i="3"/>
  <c r="D347" i="3"/>
  <c r="F347" i="3" l="1"/>
  <c r="G347" i="3"/>
  <c r="V347" i="3"/>
  <c r="A348" i="3"/>
  <c r="B348" i="3" s="1"/>
  <c r="I347" i="3" l="1"/>
  <c r="W347" i="3" s="1"/>
  <c r="J347" i="3"/>
  <c r="M347" i="3"/>
  <c r="N347" i="3" s="1"/>
  <c r="AC348" i="3"/>
  <c r="AA348" i="3"/>
  <c r="P348" i="3"/>
  <c r="Q348" i="3" s="1"/>
  <c r="R348" i="3" s="1"/>
  <c r="S348" i="3" s="1"/>
  <c r="AD348" i="3"/>
  <c r="Z348" i="3"/>
  <c r="L347" i="3" l="1"/>
  <c r="T348" i="3"/>
  <c r="U347" i="3" l="1"/>
  <c r="D348" i="3" s="1"/>
  <c r="AH348" i="3"/>
  <c r="AG348" i="3"/>
  <c r="Y346" i="3"/>
  <c r="E348" i="3" l="1"/>
  <c r="H348" i="3" s="1"/>
  <c r="K348" i="3" s="1"/>
  <c r="AE348" i="3" s="1"/>
  <c r="G348" i="3"/>
  <c r="F348" i="3" l="1"/>
  <c r="I348" i="3"/>
  <c r="J348" i="3"/>
  <c r="M348" i="3"/>
  <c r="N348" i="3" s="1"/>
  <c r="V348" i="3"/>
  <c r="A349" i="3"/>
  <c r="B349" i="3" s="1"/>
  <c r="W348" i="3" l="1"/>
  <c r="L348" i="3"/>
  <c r="AC349" i="3"/>
  <c r="P349" i="3"/>
  <c r="Q349" i="3" s="1"/>
  <c r="R349" i="3" s="1"/>
  <c r="S349" i="3" s="1"/>
  <c r="AA349" i="3"/>
  <c r="Z349" i="3"/>
  <c r="AD349" i="3"/>
  <c r="U348" i="3" l="1"/>
  <c r="Y347" i="3"/>
  <c r="T349" i="3"/>
  <c r="AG349" i="3" s="1"/>
  <c r="E349" i="3" l="1"/>
  <c r="H349" i="3" s="1"/>
  <c r="K349" i="3" s="1"/>
  <c r="AE349" i="3" s="1"/>
  <c r="D349" i="3"/>
  <c r="AH349" i="3"/>
  <c r="V349" i="3" l="1"/>
  <c r="A350" i="3"/>
  <c r="B350" i="3" s="1"/>
  <c r="F349" i="3"/>
  <c r="G349" i="3"/>
  <c r="I349" i="3" l="1"/>
  <c r="W349" i="3" s="1"/>
  <c r="J349" i="3"/>
  <c r="M349" i="3"/>
  <c r="N349" i="3" s="1"/>
  <c r="AD350" i="3"/>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M350" i="3"/>
  <c r="N350" i="3" s="1"/>
  <c r="W350" i="3" l="1"/>
  <c r="L350" i="3"/>
  <c r="AA351" i="3"/>
  <c r="P351" i="3"/>
  <c r="Q351" i="3" s="1"/>
  <c r="R351" i="3" s="1"/>
  <c r="S351" i="3" s="1"/>
  <c r="Z351" i="3"/>
  <c r="AC351" i="3"/>
  <c r="AD351" i="3"/>
  <c r="U350" i="3" l="1"/>
  <c r="Y349" i="3"/>
  <c r="T351" i="3"/>
  <c r="D351" i="3" l="1"/>
  <c r="G351" i="3" s="1"/>
  <c r="AH351" i="3"/>
  <c r="E351" i="3"/>
  <c r="H351" i="3" s="1"/>
  <c r="K351" i="3" s="1"/>
  <c r="AE351" i="3" s="1"/>
  <c r="AG351" i="3"/>
  <c r="F351" i="3" l="1"/>
  <c r="V351" i="3"/>
  <c r="A352" i="3"/>
  <c r="B352" i="3" s="1"/>
  <c r="I351" i="3"/>
  <c r="J351" i="3"/>
  <c r="M351" i="3"/>
  <c r="N351" i="3" s="1"/>
  <c r="L351" i="3" l="1"/>
  <c r="W351" i="3"/>
  <c r="AC352" i="3"/>
  <c r="AD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D353" i="3"/>
  <c r="AA353" i="3"/>
  <c r="P353" i="3"/>
  <c r="Q353" i="3" s="1"/>
  <c r="R353" i="3" s="1"/>
  <c r="S353" i="3" s="1"/>
  <c r="Z353" i="3"/>
  <c r="I352" i="3"/>
  <c r="W352" i="3" s="1"/>
  <c r="J352" i="3"/>
  <c r="M352" i="3"/>
  <c r="N352" i="3" s="1"/>
  <c r="T353" i="3" l="1"/>
  <c r="L352" i="3"/>
  <c r="U352" i="3" l="1"/>
  <c r="D353" i="3" s="1"/>
  <c r="AH353" i="3"/>
  <c r="AG353" i="3"/>
  <c r="Y351" i="3"/>
  <c r="E353" i="3" l="1"/>
  <c r="H353" i="3" s="1"/>
  <c r="K353" i="3" s="1"/>
  <c r="AE353" i="3" s="1"/>
  <c r="G353" i="3"/>
  <c r="F353" i="3" l="1"/>
  <c r="I353" i="3"/>
  <c r="J353" i="3"/>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D367" i="3"/>
  <c r="AA367" i="3"/>
  <c r="T367" i="3" l="1"/>
  <c r="AG367" i="3" s="1"/>
  <c r="U366" i="3"/>
  <c r="Y365" i="3"/>
  <c r="D367" i="3" l="1"/>
  <c r="AH367" i="3"/>
  <c r="E367" i="3"/>
  <c r="H367" i="3" s="1"/>
  <c r="F367" i="3" l="1"/>
  <c r="G367" i="3"/>
  <c r="K367" i="3"/>
  <c r="AE367" i="3" s="1"/>
  <c r="I367" i="3" l="1"/>
  <c r="J367" i="3"/>
  <c r="M367" i="3"/>
  <c r="N367" i="3" s="1"/>
  <c r="V367" i="3"/>
  <c r="A368" i="3"/>
  <c r="B368" i="3" s="1"/>
  <c r="L367" i="3" l="1"/>
  <c r="W367" i="3"/>
  <c r="Z368" i="3"/>
  <c r="P368" i="3"/>
  <c r="Q368" i="3" s="1"/>
  <c r="R368" i="3" s="1"/>
  <c r="S368" i="3" s="1"/>
  <c r="AD368" i="3"/>
  <c r="AC368" i="3"/>
  <c r="AA368" i="3"/>
  <c r="T368" i="3" l="1"/>
  <c r="AH368" i="3" s="1"/>
  <c r="U367" i="3"/>
  <c r="Y366" i="3"/>
  <c r="E368" i="3" l="1"/>
  <c r="H368" i="3" s="1"/>
  <c r="K368" i="3" s="1"/>
  <c r="AE368" i="3" s="1"/>
  <c r="D368" i="3"/>
  <c r="AG368" i="3"/>
  <c r="V368" i="3" l="1"/>
  <c r="A369" i="3"/>
  <c r="B369" i="3" s="1"/>
  <c r="F368" i="3"/>
  <c r="G368" i="3"/>
  <c r="I368" i="3" l="1"/>
  <c r="W368" i="3" s="1"/>
  <c r="J368" i="3"/>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AD377" i="3"/>
  <c r="Z377" i="3"/>
  <c r="U376" i="3"/>
  <c r="Y375" i="3"/>
  <c r="T377" i="3" l="1"/>
  <c r="AH377" i="3" s="1"/>
  <c r="E377" i="3" l="1"/>
  <c r="H377" i="3" s="1"/>
  <c r="K377" i="3" s="1"/>
  <c r="AE377" i="3" s="1"/>
  <c r="D377" i="3"/>
  <c r="AG377" i="3"/>
  <c r="F377" i="3" l="1"/>
  <c r="G377" i="3"/>
  <c r="M377" i="3" s="1"/>
  <c r="N377" i="3" s="1"/>
  <c r="V377" i="3"/>
  <c r="A378" i="3"/>
  <c r="B378" i="3" s="1"/>
  <c r="I377" i="3" l="1"/>
  <c r="W377" i="3" s="1"/>
  <c r="J377" i="3"/>
  <c r="L377" i="3" s="1"/>
  <c r="AD378" i="3"/>
  <c r="Z378" i="3"/>
  <c r="AC378" i="3"/>
  <c r="P378" i="3"/>
  <c r="Q378" i="3" s="1"/>
  <c r="R378" i="3" s="1"/>
  <c r="S378" i="3" s="1"/>
  <c r="AA378" i="3"/>
  <c r="U377" i="3" l="1"/>
  <c r="Y376" i="3"/>
  <c r="T378" i="3"/>
  <c r="D378" i="3" l="1"/>
  <c r="G378" i="3" s="1"/>
  <c r="AG378" i="3"/>
  <c r="E378" i="3"/>
  <c r="H378" i="3" s="1"/>
  <c r="K378" i="3" s="1"/>
  <c r="AE378" i="3" s="1"/>
  <c r="AH378" i="3"/>
  <c r="F378" i="3" l="1"/>
  <c r="V378" i="3"/>
  <c r="A379" i="3"/>
  <c r="B379" i="3" s="1"/>
  <c r="I378" i="3"/>
  <c r="J378" i="3"/>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D387" i="3"/>
  <c r="AA387" i="3"/>
  <c r="P387" i="3"/>
  <c r="Q387" i="3" s="1"/>
  <c r="R387" i="3" s="1"/>
  <c r="S387" i="3" s="1"/>
  <c r="AC387" i="3"/>
  <c r="Z387" i="3"/>
  <c r="U386" i="3" l="1"/>
  <c r="Y385" i="3"/>
  <c r="T387" i="3"/>
  <c r="AG387" i="3" s="1"/>
  <c r="AH387" i="3" l="1"/>
  <c r="D387" i="3"/>
  <c r="G387" i="3" s="1"/>
  <c r="E387" i="3"/>
  <c r="H387" i="3" s="1"/>
  <c r="F387" i="3" l="1"/>
  <c r="I387" i="3"/>
  <c r="J387" i="3"/>
  <c r="M387" i="3"/>
  <c r="N387" i="3" s="1"/>
  <c r="K387" i="3"/>
  <c r="AE387" i="3" s="1"/>
  <c r="V387" i="3" l="1"/>
  <c r="W387" i="3" s="1"/>
  <c r="A388" i="3"/>
  <c r="B388" i="3" s="1"/>
  <c r="L387" i="3"/>
  <c r="U387" i="3" l="1"/>
  <c r="Y386" i="3"/>
  <c r="AA388" i="3"/>
  <c r="Z388" i="3"/>
  <c r="P388" i="3"/>
  <c r="Q388" i="3" s="1"/>
  <c r="R388" i="3" s="1"/>
  <c r="S388" i="3" s="1"/>
  <c r="AD388" i="3"/>
  <c r="AC388" i="3"/>
  <c r="T388" i="3" l="1"/>
  <c r="E388" i="3" s="1"/>
  <c r="H388" i="3" s="1"/>
  <c r="K388" i="3" l="1"/>
  <c r="AE388" i="3" s="1"/>
  <c r="D388" i="3"/>
  <c r="AG388" i="3"/>
  <c r="AH388" i="3"/>
  <c r="V388" i="3" l="1"/>
  <c r="A389" i="3"/>
  <c r="B389" i="3" s="1"/>
  <c r="F388" i="3"/>
  <c r="G388" i="3"/>
  <c r="I388" i="3" l="1"/>
  <c r="W388" i="3" s="1"/>
  <c r="J388" i="3"/>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AD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L397" i="3" s="1"/>
  <c r="AD398" i="3"/>
  <c r="AC398" i="3"/>
  <c r="AA398" i="3"/>
  <c r="P398" i="3"/>
  <c r="Q398" i="3" s="1"/>
  <c r="R398" i="3" s="1"/>
  <c r="S398" i="3" s="1"/>
  <c r="Z398" i="3"/>
  <c r="T398" i="3" l="1"/>
  <c r="U397" i="3"/>
  <c r="Y396" i="3"/>
  <c r="E398" i="3" l="1"/>
  <c r="H398" i="3" s="1"/>
  <c r="K398" i="3" s="1"/>
  <c r="AE398" i="3" s="1"/>
  <c r="D398" i="3"/>
  <c r="G398" i="3" s="1"/>
  <c r="AH398" i="3"/>
  <c r="AG398" i="3"/>
  <c r="F398" i="3" l="1"/>
  <c r="V398" i="3"/>
  <c r="A399" i="3"/>
  <c r="B399" i="3" s="1"/>
  <c r="I398" i="3"/>
  <c r="J398" i="3"/>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D407" i="3"/>
  <c r="AA407" i="3"/>
  <c r="L406" i="3" l="1"/>
  <c r="T407" i="3"/>
  <c r="U406" i="3" l="1"/>
  <c r="D407" i="3" s="1"/>
  <c r="AG407" i="3"/>
  <c r="AH407" i="3"/>
  <c r="Y405" i="3"/>
  <c r="G407" i="3" l="1"/>
  <c r="E407" i="3"/>
  <c r="H407" i="3" s="1"/>
  <c r="F407" i="3" l="1"/>
  <c r="I407" i="3"/>
  <c r="J407" i="3"/>
  <c r="M407" i="3"/>
  <c r="N407" i="3" s="1"/>
  <c r="K407" i="3"/>
  <c r="AE407" i="3" s="1"/>
  <c r="V407" i="3" l="1"/>
  <c r="W407" i="3" s="1"/>
  <c r="A408" i="3"/>
  <c r="B408" i="3" s="1"/>
  <c r="L407" i="3"/>
  <c r="U407" i="3" l="1"/>
  <c r="Y406" i="3"/>
  <c r="Z408" i="3"/>
  <c r="AC408" i="3"/>
  <c r="AD408" i="3"/>
  <c r="P408" i="3"/>
  <c r="Q408" i="3" s="1"/>
  <c r="R408" i="3" s="1"/>
  <c r="S408" i="3" s="1"/>
  <c r="AA408" i="3"/>
  <c r="T408" i="3" l="1"/>
  <c r="AH408" i="3" s="1"/>
  <c r="E408" i="3" l="1"/>
  <c r="H408" i="3" s="1"/>
  <c r="K408" i="3" s="1"/>
  <c r="AE408" i="3" s="1"/>
  <c r="D408" i="3"/>
  <c r="G408" i="3" s="1"/>
  <c r="AG408" i="3"/>
  <c r="F408" i="3" l="1"/>
  <c r="I408" i="3"/>
  <c r="J408" i="3"/>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AD425" i="3"/>
  <c r="U424" i="3" l="1"/>
  <c r="Y423" i="3"/>
  <c r="T425" i="3"/>
  <c r="E425" i="3" l="1"/>
  <c r="H425" i="3" s="1"/>
  <c r="K425" i="3" s="1"/>
  <c r="AE425" i="3" s="1"/>
  <c r="D425" i="3"/>
  <c r="G425" i="3" s="1"/>
  <c r="AH425" i="3"/>
  <c r="AG425" i="3"/>
  <c r="F425" i="3" l="1"/>
  <c r="I425" i="3"/>
  <c r="J425" i="3"/>
  <c r="M425" i="3"/>
  <c r="N425" i="3" s="1"/>
  <c r="V425" i="3"/>
  <c r="A426" i="3"/>
  <c r="B426" i="3" s="1"/>
  <c r="L425" i="3" l="1"/>
  <c r="W425" i="3"/>
  <c r="P426" i="3"/>
  <c r="Q426" i="3" s="1"/>
  <c r="R426" i="3" s="1"/>
  <c r="S426" i="3" s="1"/>
  <c r="AA426" i="3"/>
  <c r="AD426" i="3"/>
  <c r="Z426" i="3"/>
  <c r="AC426" i="3"/>
  <c r="U425" i="3" l="1"/>
  <c r="Y424" i="3"/>
  <c r="T426" i="3"/>
  <c r="AH426" i="3" s="1"/>
  <c r="E426" i="3" l="1"/>
  <c r="H426" i="3" s="1"/>
  <c r="D426" i="3"/>
  <c r="AG426" i="3"/>
  <c r="K426" i="3" l="1"/>
  <c r="AE426" i="3" s="1"/>
  <c r="F426" i="3"/>
  <c r="G426" i="3"/>
  <c r="V426" i="3" l="1"/>
  <c r="A427" i="3"/>
  <c r="B427" i="3" s="1"/>
  <c r="I426" i="3"/>
  <c r="J426" i="3"/>
  <c r="M426" i="3"/>
  <c r="N426" i="3" s="1"/>
  <c r="W426" i="3" l="1"/>
  <c r="L426" i="3"/>
  <c r="P427" i="3"/>
  <c r="Q427" i="3" s="1"/>
  <c r="R427" i="3" s="1"/>
  <c r="S427" i="3" s="1"/>
  <c r="AC427" i="3"/>
  <c r="AD427" i="3"/>
  <c r="Z427" i="3"/>
  <c r="AA427" i="3"/>
  <c r="U426" i="3" l="1"/>
  <c r="Y425" i="3"/>
  <c r="T427" i="3"/>
  <c r="AG427" i="3" s="1"/>
  <c r="D427" i="3" l="1"/>
  <c r="G427" i="3" s="1"/>
  <c r="E427" i="3"/>
  <c r="H427" i="3" s="1"/>
  <c r="K427" i="3" s="1"/>
  <c r="AE427" i="3" s="1"/>
  <c r="AH427" i="3"/>
  <c r="F427" i="3" l="1"/>
  <c r="I427" i="3"/>
  <c r="J427" i="3"/>
  <c r="M427" i="3"/>
  <c r="N427" i="3" s="1"/>
  <c r="V427" i="3"/>
  <c r="A428" i="3"/>
  <c r="B428" i="3" s="1"/>
  <c r="W427" i="3" l="1"/>
  <c r="L427" i="3"/>
  <c r="P428" i="3"/>
  <c r="Q428" i="3" s="1"/>
  <c r="R428" i="3" s="1"/>
  <c r="S428" i="3" s="1"/>
  <c r="AC428" i="3"/>
  <c r="Z428" i="3"/>
  <c r="AA428" i="3"/>
  <c r="AD428" i="3"/>
  <c r="U427" i="3" l="1"/>
  <c r="Y426" i="3"/>
  <c r="T428" i="3"/>
  <c r="AG428" i="3" s="1"/>
  <c r="E428" i="3" l="1"/>
  <c r="H428" i="3" s="1"/>
  <c r="AH428" i="3"/>
  <c r="D428" i="3"/>
  <c r="K428" i="3" l="1"/>
  <c r="AE428" i="3" s="1"/>
  <c r="F428" i="3"/>
  <c r="G428" i="3"/>
  <c r="I428" i="3" l="1"/>
  <c r="J428" i="3"/>
  <c r="M428" i="3"/>
  <c r="N428" i="3" s="1"/>
  <c r="V428" i="3"/>
  <c r="A429" i="3"/>
  <c r="B429" i="3" s="1"/>
  <c r="W428" i="3" l="1"/>
  <c r="AD429" i="3"/>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M429" i="3"/>
  <c r="N429" i="3" s="1"/>
  <c r="V429" i="3"/>
  <c r="A430" i="3"/>
  <c r="B430" i="3" s="1"/>
  <c r="L429" i="3" l="1"/>
  <c r="W429" i="3"/>
  <c r="AA430" i="3"/>
  <c r="Z430" i="3"/>
  <c r="P430" i="3"/>
  <c r="Q430" i="3" s="1"/>
  <c r="R430" i="3" s="1"/>
  <c r="S430" i="3" s="1"/>
  <c r="AC430" i="3"/>
  <c r="AD430" i="3"/>
  <c r="U429" i="3" l="1"/>
  <c r="Y428" i="3"/>
  <c r="T430" i="3"/>
  <c r="D430" i="3" l="1"/>
  <c r="G430" i="3" s="1"/>
  <c r="AH430" i="3"/>
  <c r="E430" i="3"/>
  <c r="H430" i="3" s="1"/>
  <c r="AG430" i="3"/>
  <c r="F430" i="3" l="1"/>
  <c r="I430" i="3"/>
  <c r="J430" i="3"/>
  <c r="M430" i="3"/>
  <c r="N430" i="3" s="1"/>
  <c r="K430" i="3"/>
  <c r="AE430" i="3" s="1"/>
  <c r="V430" i="3" l="1"/>
  <c r="W430" i="3" s="1"/>
  <c r="A431" i="3"/>
  <c r="B431" i="3" s="1"/>
  <c r="L430" i="3"/>
  <c r="U430" i="3" l="1"/>
  <c r="Y429" i="3"/>
  <c r="AC431" i="3"/>
  <c r="Z431" i="3"/>
  <c r="P431" i="3"/>
  <c r="Q431" i="3" s="1"/>
  <c r="R431" i="3" s="1"/>
  <c r="S431" i="3" s="1"/>
  <c r="AA431" i="3"/>
  <c r="AD431" i="3"/>
  <c r="T431" i="3" l="1"/>
  <c r="AH431" i="3" s="1"/>
  <c r="E431" i="3" l="1"/>
  <c r="H431" i="3" s="1"/>
  <c r="AG431" i="3"/>
  <c r="D431" i="3"/>
  <c r="K431" i="3" l="1"/>
  <c r="AE431" i="3" s="1"/>
  <c r="F431" i="3"/>
  <c r="G431" i="3"/>
  <c r="V431" i="3" l="1"/>
  <c r="A432" i="3"/>
  <c r="B432" i="3" s="1"/>
  <c r="I431" i="3"/>
  <c r="J431" i="3"/>
  <c r="M431" i="3"/>
  <c r="N431" i="3" s="1"/>
  <c r="W431" i="3" l="1"/>
  <c r="L431" i="3"/>
  <c r="AA432" i="3"/>
  <c r="P432" i="3"/>
  <c r="Q432" i="3" s="1"/>
  <c r="R432" i="3" s="1"/>
  <c r="S432" i="3" s="1"/>
  <c r="AC432" i="3"/>
  <c r="Z432" i="3"/>
  <c r="AD432" i="3"/>
  <c r="T432" i="3" l="1"/>
  <c r="AH432" i="3" s="1"/>
  <c r="U431" i="3"/>
  <c r="Y430" i="3"/>
  <c r="AG432" i="3" l="1"/>
  <c r="E432" i="3"/>
  <c r="H432" i="3" s="1"/>
  <c r="D432" i="3"/>
  <c r="K432" i="3" l="1"/>
  <c r="AE432" i="3" s="1"/>
  <c r="F432" i="3"/>
  <c r="G432" i="3"/>
  <c r="I432" i="3" l="1"/>
  <c r="J432" i="3"/>
  <c r="M432" i="3"/>
  <c r="N432" i="3" s="1"/>
  <c r="V432" i="3"/>
  <c r="A433" i="3"/>
  <c r="B433" i="3" s="1"/>
  <c r="W432" i="3" l="1"/>
  <c r="L432" i="3"/>
  <c r="P433" i="3"/>
  <c r="Q433" i="3" s="1"/>
  <c r="R433" i="3" s="1"/>
  <c r="S433" i="3" s="1"/>
  <c r="AC433" i="3"/>
  <c r="Z433" i="3"/>
  <c r="AA433" i="3"/>
  <c r="AD433" i="3"/>
  <c r="U432" i="3" l="1"/>
  <c r="Y431" i="3"/>
  <c r="T433" i="3"/>
  <c r="E433" i="3" l="1"/>
  <c r="H433" i="3" s="1"/>
  <c r="K433" i="3" s="1"/>
  <c r="AE433" i="3" s="1"/>
  <c r="D433" i="3"/>
  <c r="AG433" i="3"/>
  <c r="AH433" i="3"/>
  <c r="F433" i="3" l="1"/>
  <c r="G433" i="3"/>
  <c r="M433" i="3" s="1"/>
  <c r="N433" i="3" s="1"/>
  <c r="V433" i="3"/>
  <c r="A434" i="3"/>
  <c r="B434" i="3" s="1"/>
  <c r="I433" i="3" l="1"/>
  <c r="W433" i="3" s="1"/>
  <c r="J433" i="3"/>
  <c r="L433" i="3" s="1"/>
  <c r="P434" i="3"/>
  <c r="Q434" i="3" s="1"/>
  <c r="R434" i="3" s="1"/>
  <c r="S434" i="3" s="1"/>
  <c r="Z434" i="3"/>
  <c r="AA434" i="3"/>
  <c r="AC434" i="3"/>
  <c r="U433" i="3" l="1"/>
  <c r="Y432" i="3"/>
  <c r="T434" i="3"/>
  <c r="AH434" i="3" s="1"/>
  <c r="E434" i="3" l="1"/>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AD437" i="3"/>
  <c r="Z437" i="3"/>
  <c r="U436" i="3" l="1"/>
  <c r="Y435" i="3"/>
  <c r="T437" i="3"/>
  <c r="AH437" i="3" s="1"/>
  <c r="D437" i="3" l="1"/>
  <c r="G437" i="3" s="1"/>
  <c r="E437" i="3"/>
  <c r="H437" i="3" s="1"/>
  <c r="K437" i="3" s="1"/>
  <c r="AE437" i="3" s="1"/>
  <c r="AG437" i="3"/>
  <c r="F437" i="3" l="1"/>
  <c r="I437" i="3"/>
  <c r="J437" i="3"/>
  <c r="M437" i="3"/>
  <c r="N437" i="3" s="1"/>
  <c r="V437" i="3"/>
  <c r="A438" i="3"/>
  <c r="B438" i="3" s="1"/>
  <c r="W437" i="3" l="1"/>
  <c r="L437" i="3"/>
  <c r="Z438" i="3"/>
  <c r="P438" i="3"/>
  <c r="Q438" i="3" s="1"/>
  <c r="R438" i="3" s="1"/>
  <c r="S438" i="3" s="1"/>
  <c r="AC438" i="3"/>
  <c r="AD438" i="3"/>
  <c r="AA438" i="3"/>
  <c r="U437" i="3" l="1"/>
  <c r="Y436" i="3"/>
  <c r="T438" i="3"/>
  <c r="E438" i="3" l="1"/>
  <c r="H438" i="3" s="1"/>
  <c r="K438" i="3" s="1"/>
  <c r="AE438" i="3" s="1"/>
  <c r="D438" i="3"/>
  <c r="AH438" i="3"/>
  <c r="AG438" i="3"/>
  <c r="V438" i="3" l="1"/>
  <c r="A439" i="3"/>
  <c r="B439" i="3" s="1"/>
  <c r="F438" i="3"/>
  <c r="G438" i="3"/>
  <c r="I438" i="3" l="1"/>
  <c r="W438" i="3" s="1"/>
  <c r="J438" i="3"/>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AD447" i="3"/>
  <c r="U446" i="3"/>
  <c r="Y445" i="3"/>
  <c r="T447" i="3" l="1"/>
  <c r="AG447" i="3" s="1"/>
  <c r="D447" i="3" l="1"/>
  <c r="G447" i="3" s="1"/>
  <c r="AH447" i="3"/>
  <c r="E447" i="3"/>
  <c r="H447" i="3" s="1"/>
  <c r="K447" i="3" s="1"/>
  <c r="AE447" i="3" s="1"/>
  <c r="F447" i="3" l="1"/>
  <c r="I447" i="3"/>
  <c r="J447" i="3"/>
  <c r="M447" i="3"/>
  <c r="N447" i="3" s="1"/>
  <c r="V447" i="3"/>
  <c r="A448" i="3"/>
  <c r="B448" i="3" s="1"/>
  <c r="W447" i="3" l="1"/>
  <c r="L447" i="3"/>
  <c r="AD448" i="3"/>
  <c r="Z448" i="3"/>
  <c r="AA448" i="3"/>
  <c r="P448" i="3"/>
  <c r="Q448" i="3" s="1"/>
  <c r="R448" i="3" s="1"/>
  <c r="S448" i="3" s="1"/>
  <c r="AC448" i="3"/>
  <c r="T448" i="3" l="1"/>
  <c r="AG448" i="3" s="1"/>
  <c r="U447" i="3"/>
  <c r="Y446" i="3"/>
  <c r="D448" i="3" l="1"/>
  <c r="G448" i="3" s="1"/>
  <c r="E448" i="3"/>
  <c r="H448" i="3" s="1"/>
  <c r="AH448" i="3"/>
  <c r="F448" i="3" l="1"/>
  <c r="I448" i="3"/>
  <c r="J448" i="3"/>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D457" i="3"/>
  <c r="AA457" i="3"/>
  <c r="U456" i="3"/>
  <c r="Y455" i="3"/>
  <c r="T457" i="3" l="1"/>
  <c r="D457" i="3" l="1"/>
  <c r="AH457" i="3"/>
  <c r="E457" i="3"/>
  <c r="H457" i="3" s="1"/>
  <c r="AG457" i="3"/>
  <c r="F457" i="3" l="1"/>
  <c r="G457" i="3"/>
  <c r="K457" i="3"/>
  <c r="AE457" i="3" s="1"/>
  <c r="I457" i="3" l="1"/>
  <c r="J457" i="3"/>
  <c r="M457" i="3"/>
  <c r="N457" i="3" s="1"/>
  <c r="V457" i="3"/>
  <c r="A458" i="3"/>
  <c r="B458" i="3" s="1"/>
  <c r="L457" i="3" l="1"/>
  <c r="W457" i="3"/>
  <c r="P458" i="3"/>
  <c r="Q458" i="3" s="1"/>
  <c r="R458" i="3" s="1"/>
  <c r="S458" i="3" s="1"/>
  <c r="AC458" i="3"/>
  <c r="Z458" i="3"/>
  <c r="AD458" i="3"/>
  <c r="AA458" i="3"/>
  <c r="U457" i="3" l="1"/>
  <c r="Y456" i="3"/>
  <c r="T458" i="3"/>
  <c r="AH458" i="3" s="1"/>
  <c r="AG458" i="3" l="1"/>
  <c r="E458" i="3"/>
  <c r="H458" i="3" s="1"/>
  <c r="D458" i="3"/>
  <c r="K458" i="3" l="1"/>
  <c r="AE458" i="3" s="1"/>
  <c r="F458" i="3"/>
  <c r="G458" i="3"/>
  <c r="V458" i="3" l="1"/>
  <c r="A459" i="3"/>
  <c r="B459" i="3" s="1"/>
  <c r="I458" i="3"/>
  <c r="J458" i="3"/>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AD465" i="3"/>
  <c r="T465" i="3" l="1"/>
  <c r="AH465" i="3" s="1"/>
  <c r="U464" i="3"/>
  <c r="Y463" i="3"/>
  <c r="D465" i="3" l="1"/>
  <c r="G465" i="3" s="1"/>
  <c r="E465" i="3"/>
  <c r="H465" i="3" s="1"/>
  <c r="AG465" i="3"/>
  <c r="F465" i="3" l="1"/>
  <c r="I465" i="3"/>
  <c r="J465" i="3"/>
  <c r="M465" i="3"/>
  <c r="N465" i="3" s="1"/>
  <c r="K465" i="3"/>
  <c r="AE465" i="3" s="1"/>
  <c r="V465" i="3" l="1"/>
  <c r="W465" i="3" s="1"/>
  <c r="A466" i="3"/>
  <c r="B466" i="3" s="1"/>
  <c r="L465" i="3"/>
  <c r="U465" i="3" l="1"/>
  <c r="Y464" i="3"/>
  <c r="AA466" i="3"/>
  <c r="AD466" i="3"/>
  <c r="AC466" i="3"/>
  <c r="Z466" i="3"/>
  <c r="P466" i="3"/>
  <c r="Q466" i="3" s="1"/>
  <c r="R466" i="3" s="1"/>
  <c r="S466" i="3" s="1"/>
  <c r="T466" i="3" l="1"/>
  <c r="AH466" i="3" s="1"/>
  <c r="AG466" i="3" l="1"/>
  <c r="E466" i="3"/>
  <c r="H466" i="3" s="1"/>
  <c r="K466" i="3" s="1"/>
  <c r="AE466" i="3" s="1"/>
  <c r="D466" i="3"/>
  <c r="G466" i="3" s="1"/>
  <c r="F466" i="3" l="1"/>
  <c r="I466" i="3"/>
  <c r="J466" i="3"/>
  <c r="M466" i="3"/>
  <c r="N466" i="3" s="1"/>
  <c r="V466" i="3"/>
  <c r="A467" i="3"/>
  <c r="B467" i="3" s="1"/>
  <c r="W466" i="3" l="1"/>
  <c r="L466" i="3"/>
  <c r="P467" i="3"/>
  <c r="Q467" i="3" s="1"/>
  <c r="R467" i="3" s="1"/>
  <c r="S467" i="3" s="1"/>
  <c r="AA467" i="3"/>
  <c r="Z467" i="3"/>
  <c r="AC467" i="3"/>
  <c r="AD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AD468" i="3"/>
  <c r="I467" i="3"/>
  <c r="W467" i="3" s="1"/>
  <c r="J467" i="3"/>
  <c r="M467" i="3"/>
  <c r="N467" i="3" s="1"/>
  <c r="L467" i="3" l="1"/>
  <c r="T468" i="3"/>
  <c r="U467" i="3" l="1"/>
  <c r="D468" i="3" s="1"/>
  <c r="AH468" i="3"/>
  <c r="AG468" i="3"/>
  <c r="Y466" i="3"/>
  <c r="E468" i="3" l="1"/>
  <c r="H468" i="3" s="1"/>
  <c r="K468" i="3" s="1"/>
  <c r="AE468" i="3" s="1"/>
  <c r="G468" i="3"/>
  <c r="F468" i="3" l="1"/>
  <c r="I468" i="3"/>
  <c r="J468" i="3"/>
  <c r="M468" i="3"/>
  <c r="N468" i="3" s="1"/>
  <c r="V468" i="3"/>
  <c r="A469" i="3"/>
  <c r="B469" i="3" s="1"/>
  <c r="W468" i="3" l="1"/>
  <c r="L468" i="3"/>
  <c r="AD469" i="3"/>
  <c r="AA469" i="3"/>
  <c r="P469" i="3"/>
  <c r="Q469" i="3" s="1"/>
  <c r="R469" i="3" s="1"/>
  <c r="S469" i="3" s="1"/>
  <c r="Z469" i="3"/>
  <c r="AC469" i="3"/>
  <c r="U468" i="3" l="1"/>
  <c r="Y467" i="3"/>
  <c r="T469" i="3"/>
  <c r="AG469" i="3" s="1"/>
  <c r="D469" i="3" l="1"/>
  <c r="G469" i="3" s="1"/>
  <c r="AH469" i="3"/>
  <c r="E469" i="3"/>
  <c r="H469" i="3" s="1"/>
  <c r="K469" i="3" s="1"/>
  <c r="AE469" i="3" s="1"/>
  <c r="F469" i="3" l="1"/>
  <c r="I469" i="3"/>
  <c r="J469" i="3"/>
  <c r="M469" i="3"/>
  <c r="N469" i="3" s="1"/>
  <c r="V469" i="3"/>
  <c r="A470" i="3"/>
  <c r="B470" i="3" s="1"/>
  <c r="W469" i="3" l="1"/>
  <c r="L469" i="3"/>
  <c r="AC470" i="3"/>
  <c r="P470" i="3"/>
  <c r="Q470" i="3" s="1"/>
  <c r="R470" i="3" s="1"/>
  <c r="S470" i="3" s="1"/>
  <c r="AA470" i="3"/>
  <c r="Z470" i="3"/>
  <c r="AD470" i="3"/>
  <c r="U469" i="3" l="1"/>
  <c r="Y468" i="3"/>
  <c r="T470" i="3"/>
  <c r="D470" i="3" l="1"/>
  <c r="G470" i="3" s="1"/>
  <c r="AH470" i="3"/>
  <c r="AG470" i="3"/>
  <c r="E470" i="3"/>
  <c r="H470" i="3" s="1"/>
  <c r="K470" i="3" l="1"/>
  <c r="AE470" i="3" s="1"/>
  <c r="F470" i="3"/>
  <c r="I470" i="3"/>
  <c r="J470" i="3"/>
  <c r="M470" i="3"/>
  <c r="N470" i="3" s="1"/>
  <c r="V470" i="3" l="1"/>
  <c r="W470" i="3" s="1"/>
  <c r="A471" i="3"/>
  <c r="B471" i="3" s="1"/>
  <c r="L470" i="3"/>
  <c r="U470" i="3" l="1"/>
  <c r="Y469" i="3"/>
  <c r="Z471" i="3"/>
  <c r="AA471" i="3"/>
  <c r="AD471" i="3"/>
  <c r="AC471" i="3"/>
  <c r="P471" i="3"/>
  <c r="Q471" i="3" s="1"/>
  <c r="R471" i="3" s="1"/>
  <c r="S471" i="3" s="1"/>
  <c r="T471" i="3" l="1"/>
  <c r="AH471" i="3" s="1"/>
  <c r="AG471" i="3" l="1"/>
  <c r="E471" i="3"/>
  <c r="H471" i="3" s="1"/>
  <c r="D471" i="3"/>
  <c r="F471" i="3" l="1"/>
  <c r="G471" i="3"/>
  <c r="K471" i="3"/>
  <c r="AE471" i="3" s="1"/>
  <c r="V471" i="3" l="1"/>
  <c r="A472" i="3"/>
  <c r="B472" i="3" s="1"/>
  <c r="I471" i="3"/>
  <c r="J471" i="3"/>
  <c r="M471" i="3"/>
  <c r="N471" i="3" s="1"/>
  <c r="W471" i="3" l="1"/>
  <c r="L471" i="3"/>
  <c r="Z472" i="3"/>
  <c r="AA472" i="3"/>
  <c r="P472" i="3"/>
  <c r="Q472" i="3" s="1"/>
  <c r="R472" i="3" s="1"/>
  <c r="S472" i="3" s="1"/>
  <c r="AD472" i="3"/>
  <c r="AC472" i="3"/>
  <c r="U471" i="3" l="1"/>
  <c r="Y470" i="3"/>
  <c r="T472" i="3"/>
  <c r="E472" i="3" l="1"/>
  <c r="H472" i="3" s="1"/>
  <c r="K472" i="3" s="1"/>
  <c r="AE472" i="3" s="1"/>
  <c r="AG472" i="3"/>
  <c r="AH472" i="3"/>
  <c r="D472" i="3"/>
  <c r="V472" i="3" l="1"/>
  <c r="A473" i="3"/>
  <c r="B473" i="3" s="1"/>
  <c r="F472" i="3"/>
  <c r="G472" i="3"/>
  <c r="I472" i="3" l="1"/>
  <c r="W472" i="3" s="1"/>
  <c r="J472" i="3"/>
  <c r="M472" i="3"/>
  <c r="N472" i="3" s="1"/>
  <c r="AC473" i="3"/>
  <c r="P473" i="3"/>
  <c r="Q473" i="3" s="1"/>
  <c r="R473" i="3" s="1"/>
  <c r="S473" i="3" s="1"/>
  <c r="AD473" i="3"/>
  <c r="Z473" i="3"/>
  <c r="AA473" i="3"/>
  <c r="L472" i="3" l="1"/>
  <c r="T473" i="3"/>
  <c r="U472" i="3" l="1"/>
  <c r="D473" i="3" s="1"/>
  <c r="AH473" i="3"/>
  <c r="AG473" i="3"/>
  <c r="Y471" i="3"/>
  <c r="G473" i="3" l="1"/>
  <c r="E473" i="3"/>
  <c r="H473" i="3" s="1"/>
  <c r="F473" i="3" l="1"/>
  <c r="I473" i="3"/>
  <c r="J473" i="3"/>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D475" i="3"/>
  <c r="AA475" i="3"/>
  <c r="T475" i="3" l="1"/>
  <c r="AG475" i="3" s="1"/>
  <c r="AH475" i="3" l="1"/>
  <c r="E475" i="3"/>
  <c r="H475" i="3" s="1"/>
  <c r="K475" i="3" s="1"/>
  <c r="AE475" i="3" s="1"/>
  <c r="D475" i="3"/>
  <c r="F475" i="3" l="1"/>
  <c r="G475" i="3"/>
  <c r="M475" i="3" s="1"/>
  <c r="N475" i="3" s="1"/>
  <c r="V475" i="3"/>
  <c r="A476" i="3"/>
  <c r="B476" i="3" s="1"/>
  <c r="I475" i="3" l="1"/>
  <c r="W475" i="3" s="1"/>
  <c r="J475" i="3"/>
  <c r="L475" i="3" s="1"/>
  <c r="P476" i="3"/>
  <c r="Q476" i="3" s="1"/>
  <c r="R476" i="3" s="1"/>
  <c r="S476" i="3" s="1"/>
  <c r="AA476" i="3"/>
  <c r="AD476" i="3"/>
  <c r="Z476" i="3"/>
  <c r="AC476" i="3"/>
  <c r="U475" i="3" l="1"/>
  <c r="Y474" i="3"/>
  <c r="T476" i="3"/>
  <c r="AG476" i="3" s="1"/>
  <c r="D476" i="3" l="1"/>
  <c r="G476" i="3" s="1"/>
  <c r="E476" i="3"/>
  <c r="H476" i="3" s="1"/>
  <c r="K476" i="3" s="1"/>
  <c r="AE476" i="3" s="1"/>
  <c r="AH476" i="3"/>
  <c r="F476" i="3" l="1"/>
  <c r="V476" i="3"/>
  <c r="A477" i="3"/>
  <c r="B477" i="3" s="1"/>
  <c r="I476" i="3"/>
  <c r="J476" i="3"/>
  <c r="M476" i="3"/>
  <c r="N476" i="3" s="1"/>
  <c r="W476" i="3" l="1"/>
  <c r="L476" i="3"/>
  <c r="AA477" i="3"/>
  <c r="P477" i="3"/>
  <c r="Q477" i="3" s="1"/>
  <c r="R477" i="3" s="1"/>
  <c r="S477" i="3" s="1"/>
  <c r="AD477" i="3"/>
  <c r="AC477" i="3"/>
  <c r="Z477" i="3"/>
  <c r="U476" i="3" l="1"/>
  <c r="Y475" i="3"/>
  <c r="T477" i="3"/>
  <c r="D477" i="3" l="1"/>
  <c r="G477" i="3" s="1"/>
  <c r="AG477" i="3"/>
  <c r="E477" i="3"/>
  <c r="H477" i="3" s="1"/>
  <c r="K477" i="3" s="1"/>
  <c r="AE477" i="3" s="1"/>
  <c r="AH477" i="3"/>
  <c r="F477" i="3" l="1"/>
  <c r="V477" i="3"/>
  <c r="A478" i="3"/>
  <c r="B478" i="3" s="1"/>
  <c r="I477" i="3"/>
  <c r="J477" i="3"/>
  <c r="M477" i="3"/>
  <c r="N477" i="3" s="1"/>
  <c r="W477" i="3" l="1"/>
  <c r="L477" i="3"/>
  <c r="AA478" i="3"/>
  <c r="AD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M478" i="3"/>
  <c r="N478" i="3" s="1"/>
  <c r="P479" i="3"/>
  <c r="Q479" i="3" s="1"/>
  <c r="R479" i="3" s="1"/>
  <c r="S479" i="3" s="1"/>
  <c r="AD479" i="3"/>
  <c r="AC479" i="3"/>
  <c r="AA479" i="3"/>
  <c r="Z479" i="3"/>
  <c r="T479" i="3" l="1"/>
  <c r="L478" i="3"/>
  <c r="U478" i="3" l="1"/>
  <c r="E479" i="3" s="1"/>
  <c r="H479" i="3" s="1"/>
  <c r="AH479" i="3"/>
  <c r="AG479" i="3"/>
  <c r="Y477" i="3"/>
  <c r="D479" i="3" l="1"/>
  <c r="G479" i="3" s="1"/>
  <c r="K479" i="3"/>
  <c r="AE479" i="3" s="1"/>
  <c r="F479" i="3" l="1"/>
  <c r="I479" i="3"/>
  <c r="J479" i="3"/>
  <c r="M479" i="3"/>
  <c r="N479" i="3" s="1"/>
  <c r="V479" i="3"/>
  <c r="A480" i="3"/>
  <c r="B480" i="3" s="1"/>
  <c r="W479" i="3" l="1"/>
  <c r="AA480" i="3"/>
  <c r="P480" i="3"/>
  <c r="Q480" i="3" s="1"/>
  <c r="R480" i="3" s="1"/>
  <c r="S480" i="3" s="1"/>
  <c r="AD480" i="3"/>
  <c r="AC480" i="3"/>
  <c r="Z480" i="3"/>
  <c r="L479" i="3"/>
  <c r="U479" i="3" l="1"/>
  <c r="Y478" i="3"/>
  <c r="T480" i="3"/>
  <c r="E480" i="3" l="1"/>
  <c r="H480" i="3" s="1"/>
  <c r="K480" i="3" s="1"/>
  <c r="AE480" i="3" s="1"/>
  <c r="AH480" i="3"/>
  <c r="AG480" i="3"/>
  <c r="D480" i="3"/>
  <c r="V480" i="3" l="1"/>
  <c r="A481" i="3"/>
  <c r="B481" i="3" s="1"/>
  <c r="F480" i="3"/>
  <c r="G480" i="3"/>
  <c r="I480" i="3" l="1"/>
  <c r="W480" i="3" s="1"/>
  <c r="J480" i="3"/>
  <c r="M480" i="3"/>
  <c r="N480" i="3" s="1"/>
  <c r="P481" i="3"/>
  <c r="Q481" i="3" s="1"/>
  <c r="R481" i="3" s="1"/>
  <c r="S481" i="3" s="1"/>
  <c r="AC481" i="3"/>
  <c r="AA481" i="3"/>
  <c r="AD481" i="3"/>
  <c r="Z481" i="3"/>
  <c r="T481" i="3" l="1"/>
  <c r="L480" i="3"/>
  <c r="U480" i="3" l="1"/>
  <c r="D481" i="3" s="1"/>
  <c r="AG481" i="3"/>
  <c r="AH481" i="3"/>
  <c r="Y479" i="3"/>
  <c r="G481" i="3" l="1"/>
  <c r="E481" i="3"/>
  <c r="H481" i="3" s="1"/>
  <c r="K481" i="3" l="1"/>
  <c r="AE481" i="3" s="1"/>
  <c r="I481" i="3"/>
  <c r="J481" i="3"/>
  <c r="M481" i="3"/>
  <c r="N481" i="3" s="1"/>
  <c r="F481" i="3"/>
  <c r="V481" i="3" l="1"/>
  <c r="W481" i="3" s="1"/>
  <c r="A482" i="3"/>
  <c r="B482" i="3" s="1"/>
  <c r="L481" i="3"/>
  <c r="U481" i="3" l="1"/>
  <c r="Y480" i="3"/>
  <c r="AC482" i="3"/>
  <c r="AA482" i="3"/>
  <c r="P482" i="3"/>
  <c r="Q482" i="3" s="1"/>
  <c r="R482" i="3" s="1"/>
  <c r="S482" i="3" s="1"/>
  <c r="AD482" i="3"/>
  <c r="Z482" i="3"/>
  <c r="T482" i="3" l="1"/>
  <c r="D482" i="3" s="1"/>
  <c r="AG482" i="3" l="1"/>
  <c r="G482" i="3"/>
  <c r="AH482" i="3"/>
  <c r="E482" i="3"/>
  <c r="H482" i="3" s="1"/>
  <c r="F482" i="3" l="1"/>
  <c r="I482" i="3"/>
  <c r="J482" i="3"/>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AD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M487" i="3"/>
  <c r="N487" i="3" s="1"/>
  <c r="AA488" i="3"/>
  <c r="AD488" i="3"/>
  <c r="Z488" i="3"/>
  <c r="P488" i="3"/>
  <c r="Q488" i="3" s="1"/>
  <c r="R488" i="3" s="1"/>
  <c r="S488" i="3" s="1"/>
  <c r="AC488" i="3"/>
  <c r="L487" i="3" l="1"/>
  <c r="T488" i="3"/>
  <c r="U487" i="3" l="1"/>
  <c r="D488" i="3" s="1"/>
  <c r="AG488" i="3"/>
  <c r="AH488" i="3"/>
  <c r="Y486" i="3"/>
  <c r="E488" i="3" l="1"/>
  <c r="H488" i="3" s="1"/>
  <c r="K488" i="3" s="1"/>
  <c r="AE488" i="3" s="1"/>
  <c r="G488" i="3"/>
  <c r="F488" i="3" l="1"/>
  <c r="I488" i="3"/>
  <c r="J488" i="3"/>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AD492" i="3"/>
  <c r="T492" i="3" l="1"/>
  <c r="U491" i="3"/>
  <c r="Y490" i="3"/>
  <c r="D492" i="3" l="1"/>
  <c r="G492" i="3" s="1"/>
  <c r="AH492" i="3"/>
  <c r="AG492" i="3"/>
  <c r="E492" i="3"/>
  <c r="H492" i="3" s="1"/>
  <c r="F492" i="3" l="1"/>
  <c r="I492" i="3"/>
  <c r="J492" i="3"/>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D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M495" i="3"/>
  <c r="N495" i="3" s="1"/>
  <c r="W495" i="3" l="1"/>
  <c r="L495" i="3"/>
  <c r="AD496"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M496" i="3"/>
  <c r="N496" i="3" s="1"/>
  <c r="W496" i="3" l="1"/>
  <c r="L496" i="3"/>
  <c r="P497" i="3"/>
  <c r="Q497" i="3" s="1"/>
  <c r="R497" i="3" s="1"/>
  <c r="S497" i="3" s="1"/>
  <c r="AC497" i="3"/>
  <c r="AA497" i="3"/>
  <c r="AD497" i="3"/>
  <c r="Z497" i="3"/>
  <c r="U496" i="3" l="1"/>
  <c r="Y495" i="3"/>
  <c r="T497" i="3"/>
  <c r="AG497" i="3" s="1"/>
  <c r="E497" i="3" l="1"/>
  <c r="H497" i="3" s="1"/>
  <c r="D497" i="3"/>
  <c r="AH497" i="3"/>
  <c r="F497" i="3" l="1"/>
  <c r="G497" i="3"/>
  <c r="K497" i="3"/>
  <c r="AE497" i="3" s="1"/>
  <c r="I497" i="3" l="1"/>
  <c r="J497" i="3"/>
  <c r="M497" i="3"/>
  <c r="N497" i="3" s="1"/>
  <c r="V497" i="3"/>
  <c r="A498" i="3"/>
  <c r="B498" i="3" s="1"/>
  <c r="W497" i="3" l="1"/>
  <c r="L497" i="3"/>
  <c r="Z498" i="3"/>
  <c r="AC498" i="3"/>
  <c r="AD498" i="3"/>
  <c r="AA498" i="3"/>
  <c r="P498" i="3"/>
  <c r="Q498" i="3" s="1"/>
  <c r="R498" i="3" s="1"/>
  <c r="S498" i="3" s="1"/>
  <c r="U497" i="3" l="1"/>
  <c r="Y496" i="3"/>
  <c r="T498" i="3"/>
  <c r="AH498" i="3" s="1"/>
  <c r="AG498" i="3" l="1"/>
  <c r="D498" i="3"/>
  <c r="E498" i="3"/>
  <c r="H498" i="3" s="1"/>
  <c r="F498" i="3" l="1"/>
  <c r="G498" i="3"/>
  <c r="K498" i="3"/>
  <c r="AE498" i="3" s="1"/>
  <c r="I498" i="3" l="1"/>
  <c r="J498" i="3"/>
  <c r="M498" i="3"/>
  <c r="N498" i="3" s="1"/>
  <c r="V498" i="3"/>
  <c r="A499" i="3"/>
  <c r="B499" i="3" s="1"/>
  <c r="W498" i="3" l="1"/>
  <c r="L498" i="3"/>
  <c r="AC499" i="3"/>
  <c r="P499" i="3"/>
  <c r="Q499" i="3" s="1"/>
  <c r="R499" i="3" s="1"/>
  <c r="S499" i="3" s="1"/>
  <c r="AD499" i="3"/>
  <c r="AA499" i="3"/>
  <c r="Z499" i="3"/>
  <c r="T499" i="3" l="1"/>
  <c r="U498" i="3"/>
  <c r="Y497" i="3"/>
  <c r="D499" i="3" l="1"/>
  <c r="G499" i="3" s="1"/>
  <c r="AH499" i="3"/>
  <c r="E499" i="3"/>
  <c r="H499" i="3" s="1"/>
  <c r="AG499" i="3"/>
  <c r="F499" i="3" l="1"/>
  <c r="I499" i="3"/>
  <c r="J499" i="3"/>
  <c r="M499" i="3"/>
  <c r="N499" i="3" s="1"/>
  <c r="K499" i="3"/>
  <c r="AE499" i="3" s="1"/>
  <c r="V499" i="3" l="1"/>
  <c r="W499" i="3" s="1"/>
  <c r="A500" i="3"/>
  <c r="B500" i="3" s="1"/>
  <c r="L499" i="3"/>
  <c r="U499" i="3" l="1"/>
  <c r="Y498" i="3"/>
  <c r="AD500" i="3"/>
  <c r="AA500" i="3"/>
  <c r="AC500" i="3"/>
  <c r="P500" i="3"/>
  <c r="Q500" i="3" s="1"/>
  <c r="R500" i="3" s="1"/>
  <c r="S500" i="3" s="1"/>
  <c r="Z500" i="3"/>
  <c r="T500" i="3" l="1"/>
  <c r="AH500" i="3" s="1"/>
  <c r="D500" i="3" l="1"/>
  <c r="AG500" i="3"/>
  <c r="E500" i="3"/>
  <c r="H500" i="3" s="1"/>
  <c r="F500" i="3" l="1"/>
  <c r="G500" i="3"/>
  <c r="K500" i="3"/>
  <c r="AE500" i="3" s="1"/>
  <c r="I500" i="3" l="1"/>
  <c r="J500" i="3"/>
  <c r="M500" i="3"/>
  <c r="N500" i="3" s="1"/>
  <c r="V500" i="3"/>
  <c r="A501" i="3"/>
  <c r="B501" i="3" s="1"/>
  <c r="W500" i="3" l="1"/>
  <c r="L500" i="3"/>
  <c r="P501" i="3"/>
  <c r="Q501" i="3" s="1"/>
  <c r="R501" i="3" s="1"/>
  <c r="S501" i="3" s="1"/>
  <c r="AC501" i="3"/>
  <c r="AD501" i="3"/>
  <c r="Z501" i="3"/>
  <c r="AA501" i="3"/>
  <c r="U500" i="3" l="1"/>
  <c r="Y499" i="3"/>
  <c r="T501" i="3"/>
  <c r="D501" i="3" l="1"/>
  <c r="G501" i="3" s="1"/>
  <c r="E501" i="3"/>
  <c r="H501" i="3" s="1"/>
  <c r="K501" i="3" s="1"/>
  <c r="AE501" i="3" s="1"/>
  <c r="AG501" i="3"/>
  <c r="AH501" i="3"/>
  <c r="F501" i="3" l="1"/>
  <c r="I501" i="3"/>
  <c r="J501" i="3"/>
  <c r="M501" i="3"/>
  <c r="N501" i="3" s="1"/>
  <c r="V501" i="3"/>
  <c r="A502" i="3"/>
  <c r="B502" i="3" s="1"/>
  <c r="L501" i="3" l="1"/>
  <c r="W501" i="3"/>
  <c r="Z502" i="3"/>
  <c r="AA502" i="3"/>
  <c r="AC502" i="3"/>
  <c r="AD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M502" i="3"/>
  <c r="N502" i="3" s="1"/>
  <c r="AA503" i="3"/>
  <c r="P503" i="3"/>
  <c r="Q503" i="3" s="1"/>
  <c r="R503" i="3" s="1"/>
  <c r="S503" i="3" s="1"/>
  <c r="AD503" i="3"/>
  <c r="AC503" i="3"/>
  <c r="Z503" i="3"/>
  <c r="T503" i="3" l="1"/>
  <c r="L502" i="3"/>
  <c r="AG503" i="3" l="1"/>
  <c r="AH503" i="3"/>
  <c r="U502" i="3"/>
  <c r="E503" i="3" s="1"/>
  <c r="H503" i="3" s="1"/>
  <c r="Y501" i="3"/>
  <c r="D503" i="3" l="1"/>
  <c r="G503" i="3" s="1"/>
  <c r="K503" i="3"/>
  <c r="AE503" i="3" s="1"/>
  <c r="F503" i="3" l="1"/>
  <c r="V503" i="3"/>
  <c r="A504" i="3"/>
  <c r="B504" i="3" s="1"/>
  <c r="I503" i="3"/>
  <c r="J503" i="3"/>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D505" i="3"/>
  <c r="AA505" i="3"/>
  <c r="L504" i="3" l="1"/>
  <c r="Y503" i="3" s="1"/>
  <c r="AD504" i="3"/>
  <c r="T505" i="3"/>
  <c r="AH505" i="3" l="1"/>
  <c r="U504" i="3"/>
  <c r="D505" i="3" s="1"/>
  <c r="G505" i="3" s="1"/>
  <c r="AG505" i="3"/>
  <c r="E505" i="3" l="1"/>
  <c r="H505" i="3" s="1"/>
  <c r="K505" i="3" s="1"/>
  <c r="AE505" i="3" s="1"/>
  <c r="J505" i="3"/>
  <c r="I505" i="3" l="1"/>
  <c r="F505" i="3"/>
  <c r="V505" i="3"/>
  <c r="M505" i="3"/>
  <c r="N505" i="3" s="1"/>
  <c r="A506" i="3"/>
  <c r="B506" i="3" s="1"/>
  <c r="P506" i="3" s="1"/>
  <c r="Q506" i="3" s="1"/>
  <c r="R506" i="3" s="1"/>
  <c r="S506" i="3" s="1"/>
  <c r="L505" i="3"/>
  <c r="W505" i="3" l="1"/>
  <c r="AA506" i="3"/>
  <c r="AD506" i="3"/>
  <c r="AC506" i="3"/>
  <c r="Z506" i="3"/>
  <c r="U505" i="3"/>
  <c r="Y504" i="3"/>
  <c r="T506" i="3"/>
  <c r="AG506" i="3" l="1"/>
  <c r="D506" i="3"/>
  <c r="G506" i="3" s="1"/>
  <c r="AH506" i="3"/>
  <c r="E506" i="3"/>
  <c r="H506" i="3" s="1"/>
  <c r="K506" i="3" s="1"/>
  <c r="AE506" i="3" s="1"/>
  <c r="F506" i="3" l="1"/>
  <c r="I506" i="3"/>
  <c r="J506" i="3"/>
  <c r="M506" i="3"/>
  <c r="N506" i="3" s="1"/>
  <c r="V506" i="3"/>
  <c r="A507" i="3"/>
  <c r="B507" i="3" s="1"/>
  <c r="W506" i="3" l="1"/>
  <c r="L506" i="3"/>
  <c r="AD507" i="3"/>
  <c r="AC507" i="3"/>
  <c r="P507" i="3"/>
  <c r="Q507" i="3" s="1"/>
  <c r="R507" i="3" s="1"/>
  <c r="S507" i="3" s="1"/>
  <c r="AA507" i="3"/>
  <c r="Z507" i="3"/>
  <c r="U506" i="3" l="1"/>
  <c r="Y505" i="3"/>
  <c r="T507" i="3"/>
  <c r="AH507" i="3" s="1"/>
  <c r="AG507" i="3" l="1"/>
  <c r="E507" i="3"/>
  <c r="H507" i="3" s="1"/>
  <c r="D507" i="3"/>
  <c r="K507" i="3" l="1"/>
  <c r="AE507" i="3" s="1"/>
  <c r="F507" i="3"/>
  <c r="G507" i="3"/>
  <c r="I507" i="3" l="1"/>
  <c r="J507" i="3"/>
  <c r="M507" i="3"/>
  <c r="N507" i="3" s="1"/>
  <c r="V507" i="3"/>
  <c r="A508" i="3"/>
  <c r="B508" i="3" s="1"/>
  <c r="W507" i="3" l="1"/>
  <c r="L507" i="3"/>
  <c r="P508" i="3"/>
  <c r="Q508" i="3" s="1"/>
  <c r="R508" i="3" s="1"/>
  <c r="S508" i="3" s="1"/>
  <c r="AD508" i="3"/>
  <c r="AA508" i="3"/>
  <c r="Z508" i="3"/>
  <c r="AC508" i="3"/>
  <c r="U507" i="3" l="1"/>
  <c r="Y506" i="3"/>
  <c r="T508" i="3"/>
  <c r="E508" i="3" l="1"/>
  <c r="H508" i="3" s="1"/>
  <c r="K508" i="3" s="1"/>
  <c r="AE508" i="3" s="1"/>
  <c r="AH508" i="3"/>
  <c r="D508" i="3"/>
  <c r="AG508" i="3"/>
  <c r="F508" i="3" l="1"/>
  <c r="G508" i="3"/>
  <c r="V508" i="3"/>
  <c r="A509" i="3"/>
  <c r="B509" i="3" s="1"/>
  <c r="AD509" i="3" l="1"/>
  <c r="AC509" i="3"/>
  <c r="Z509" i="3"/>
  <c r="AA509" i="3"/>
  <c r="P509" i="3"/>
  <c r="Q509" i="3" s="1"/>
  <c r="R509" i="3" s="1"/>
  <c r="S509" i="3" s="1"/>
  <c r="I508" i="3"/>
  <c r="W508" i="3" s="1"/>
  <c r="J508" i="3"/>
  <c r="M508" i="3"/>
  <c r="N508" i="3" s="1"/>
  <c r="L508" i="3" l="1"/>
  <c r="T509" i="3"/>
  <c r="AG509" i="3" l="1"/>
  <c r="AH509" i="3"/>
  <c r="U508" i="3"/>
  <c r="D509" i="3" s="1"/>
  <c r="Y507" i="3"/>
  <c r="G509" i="3" l="1"/>
  <c r="E509" i="3"/>
  <c r="H509" i="3" s="1"/>
  <c r="F509" i="3" l="1"/>
  <c r="I509" i="3"/>
  <c r="J509" i="3"/>
  <c r="M509" i="3"/>
  <c r="N509" i="3" s="1"/>
  <c r="K509" i="3"/>
  <c r="AE509" i="3" s="1"/>
  <c r="V509" i="3" l="1"/>
  <c r="W509" i="3" s="1"/>
  <c r="A510" i="3"/>
  <c r="B510" i="3" s="1"/>
  <c r="L509" i="3"/>
  <c r="U509" i="3" l="1"/>
  <c r="Y508" i="3"/>
  <c r="AC510" i="3"/>
  <c r="Z510" i="3"/>
  <c r="AA510" i="3"/>
  <c r="AD510" i="3"/>
  <c r="P510" i="3"/>
  <c r="Q510" i="3" s="1"/>
  <c r="R510" i="3" s="1"/>
  <c r="S510" i="3" s="1"/>
  <c r="T510" i="3" l="1"/>
  <c r="AH510" i="3" l="1"/>
  <c r="E510" i="3"/>
  <c r="H510" i="3" s="1"/>
  <c r="D510" i="3"/>
  <c r="AG510" i="3"/>
  <c r="F510" i="3" l="1"/>
  <c r="G510" i="3"/>
  <c r="K510" i="3"/>
  <c r="AE510" i="3" s="1"/>
  <c r="V510" i="3" l="1"/>
  <c r="A511" i="3"/>
  <c r="B511" i="3" s="1"/>
  <c r="I510" i="3"/>
  <c r="J510" i="3"/>
  <c r="M510" i="3"/>
  <c r="N510" i="3" s="1"/>
  <c r="L510" i="3" l="1"/>
  <c r="AA511" i="3"/>
  <c r="AC511" i="3"/>
  <c r="P511" i="3"/>
  <c r="Q511" i="3" s="1"/>
  <c r="R511" i="3" s="1"/>
  <c r="S511" i="3" s="1"/>
  <c r="Z511" i="3"/>
  <c r="AD511" i="3"/>
  <c r="W510" i="3"/>
  <c r="U510" i="3" l="1"/>
  <c r="Y509" i="3"/>
  <c r="T511" i="3"/>
  <c r="AG511" i="3" s="1"/>
  <c r="AH511" i="3" l="1"/>
  <c r="D511" i="3"/>
  <c r="E511" i="3"/>
  <c r="H511" i="3" s="1"/>
  <c r="F511" i="3" l="1"/>
  <c r="G511" i="3"/>
  <c r="K511" i="3"/>
  <c r="AE511" i="3" s="1"/>
  <c r="V511" i="3" l="1"/>
  <c r="A512" i="3"/>
  <c r="B512" i="3" s="1"/>
  <c r="I511" i="3"/>
  <c r="J511" i="3"/>
  <c r="M511" i="3"/>
  <c r="N511" i="3" s="1"/>
  <c r="W511" i="3" l="1"/>
  <c r="L511" i="3"/>
  <c r="AC512" i="3"/>
  <c r="Z512" i="3"/>
  <c r="AA512" i="3"/>
  <c r="P512" i="3"/>
  <c r="Q512" i="3" s="1"/>
  <c r="R512" i="3" s="1"/>
  <c r="S512" i="3" s="1"/>
  <c r="AD512" i="3"/>
  <c r="T512" i="3" l="1"/>
  <c r="U511" i="3"/>
  <c r="Y510" i="3"/>
  <c r="D512" i="3" l="1"/>
  <c r="G512" i="3" s="1"/>
  <c r="AH512" i="3"/>
  <c r="E512" i="3"/>
  <c r="H512" i="3" s="1"/>
  <c r="K512" i="3" s="1"/>
  <c r="AE512" i="3" s="1"/>
  <c r="AG512" i="3"/>
  <c r="F512" i="3" l="1"/>
  <c r="I512" i="3"/>
  <c r="J512" i="3"/>
  <c r="M512" i="3"/>
  <c r="N512" i="3" s="1"/>
  <c r="V512" i="3"/>
  <c r="A513" i="3"/>
  <c r="B513" i="3" s="1"/>
  <c r="W512" i="3" l="1"/>
  <c r="L512" i="3"/>
  <c r="AA513" i="3"/>
  <c r="P513" i="3"/>
  <c r="Q513" i="3" s="1"/>
  <c r="R513" i="3" s="1"/>
  <c r="S513" i="3" s="1"/>
  <c r="AC513" i="3"/>
  <c r="AD513" i="3"/>
  <c r="Z513" i="3"/>
  <c r="T513" i="3" l="1"/>
  <c r="AG513" i="3" s="1"/>
  <c r="U512" i="3"/>
  <c r="Y511" i="3"/>
  <c r="AH513" i="3" l="1"/>
  <c r="E513" i="3"/>
  <c r="H513" i="3" s="1"/>
  <c r="D513" i="3"/>
  <c r="F513" i="3" l="1"/>
  <c r="G513" i="3"/>
  <c r="K513" i="3"/>
  <c r="AE513" i="3" s="1"/>
  <c r="V513" i="3" l="1"/>
  <c r="A514" i="3"/>
  <c r="B514" i="3" s="1"/>
  <c r="I513" i="3"/>
  <c r="J513" i="3"/>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AD515" i="3"/>
  <c r="P515" i="3"/>
  <c r="Q515" i="3" s="1"/>
  <c r="R515" i="3" s="1"/>
  <c r="S515" i="3" s="1"/>
  <c r="AC515" i="3"/>
  <c r="Z515" i="3"/>
  <c r="AA515" i="3"/>
  <c r="U514" i="3" l="1"/>
  <c r="Y513" i="3"/>
  <c r="T515" i="3"/>
  <c r="D515" i="3" l="1"/>
  <c r="G515" i="3" s="1"/>
  <c r="AG515" i="3"/>
  <c r="AH515" i="3"/>
  <c r="E515" i="3"/>
  <c r="H515" i="3" s="1"/>
  <c r="K515" i="3" l="1"/>
  <c r="AE515" i="3" s="1"/>
  <c r="I515" i="3"/>
  <c r="J515" i="3"/>
  <c r="M515" i="3"/>
  <c r="N515" i="3" s="1"/>
  <c r="F515" i="3"/>
  <c r="L515" i="3" l="1"/>
  <c r="V515" i="3"/>
  <c r="W515" i="3" s="1"/>
  <c r="A516" i="3"/>
  <c r="B516" i="3" s="1"/>
  <c r="U515" i="3" l="1"/>
  <c r="Y514" i="3"/>
  <c r="AA516" i="3"/>
  <c r="Z516" i="3"/>
  <c r="AC516" i="3"/>
  <c r="P516" i="3"/>
  <c r="Q516" i="3" s="1"/>
  <c r="R516" i="3" s="1"/>
  <c r="S516" i="3" s="1"/>
  <c r="AD516" i="3"/>
  <c r="T516" i="3" l="1"/>
  <c r="AG516" i="3" s="1"/>
  <c r="D516" i="3" l="1"/>
  <c r="AH516" i="3"/>
  <c r="E516" i="3"/>
  <c r="H516" i="3" s="1"/>
  <c r="F516" i="3" l="1"/>
  <c r="G516" i="3"/>
  <c r="K516" i="3"/>
  <c r="AE516" i="3" s="1"/>
  <c r="I516" i="3" l="1"/>
  <c r="J516" i="3"/>
  <c r="M516" i="3"/>
  <c r="N516" i="3" s="1"/>
  <c r="V516" i="3"/>
  <c r="A517" i="3"/>
  <c r="B517" i="3" s="1"/>
  <c r="W516" i="3" l="1"/>
  <c r="L516" i="3"/>
  <c r="AD517" i="3"/>
  <c r="AC517" i="3"/>
  <c r="P517" i="3"/>
  <c r="Q517" i="3" s="1"/>
  <c r="R517" i="3" s="1"/>
  <c r="S517" i="3" s="1"/>
  <c r="AA517" i="3"/>
  <c r="Z517" i="3"/>
  <c r="U516" i="3" l="1"/>
  <c r="Y515" i="3"/>
  <c r="T517" i="3"/>
  <c r="AG517" i="3" s="1"/>
  <c r="D517" i="3" l="1"/>
  <c r="G517" i="3" s="1"/>
  <c r="AH517" i="3"/>
  <c r="E517" i="3"/>
  <c r="H517" i="3" s="1"/>
  <c r="K517" i="3" s="1"/>
  <c r="AE517" i="3" s="1"/>
  <c r="F517" i="3" l="1"/>
  <c r="I517" i="3"/>
  <c r="J517" i="3"/>
  <c r="M517" i="3"/>
  <c r="N517" i="3" s="1"/>
  <c r="V517" i="3"/>
  <c r="A518" i="3"/>
  <c r="B518" i="3" s="1"/>
  <c r="W517" i="3" l="1"/>
  <c r="L517" i="3"/>
  <c r="AD518" i="3"/>
  <c r="AA518" i="3"/>
  <c r="AC518" i="3"/>
  <c r="Z518" i="3"/>
  <c r="P518" i="3"/>
  <c r="Q518" i="3" s="1"/>
  <c r="R518" i="3" s="1"/>
  <c r="S518" i="3" s="1"/>
  <c r="U517" i="3" l="1"/>
  <c r="Y516" i="3"/>
  <c r="T518" i="3"/>
  <c r="D518" i="3" l="1"/>
  <c r="G518" i="3" s="1"/>
  <c r="E518" i="3"/>
  <c r="H518" i="3" s="1"/>
  <c r="AH518" i="3"/>
  <c r="AG518" i="3"/>
  <c r="F518" i="3" l="1"/>
  <c r="I518" i="3"/>
  <c r="J518" i="3"/>
  <c r="M518" i="3"/>
  <c r="N518" i="3" s="1"/>
  <c r="K518" i="3"/>
  <c r="AE518" i="3" s="1"/>
  <c r="V518" i="3" l="1"/>
  <c r="W518" i="3" s="1"/>
  <c r="A519" i="3"/>
  <c r="B519" i="3" s="1"/>
  <c r="L518" i="3"/>
  <c r="U518" i="3" l="1"/>
  <c r="Y517" i="3"/>
  <c r="AD519" i="3"/>
  <c r="AA519" i="3"/>
  <c r="Z519" i="3"/>
  <c r="AC519" i="3"/>
  <c r="P519" i="3"/>
  <c r="Q519" i="3" s="1"/>
  <c r="R519" i="3" s="1"/>
  <c r="S519" i="3" s="1"/>
  <c r="T519" i="3" l="1"/>
  <c r="D519" i="3" s="1"/>
  <c r="AG519" i="3" l="1"/>
  <c r="G519" i="3"/>
  <c r="AH519" i="3"/>
  <c r="E519" i="3"/>
  <c r="H519" i="3" s="1"/>
  <c r="F519" i="3" l="1"/>
  <c r="I519" i="3"/>
  <c r="J519" i="3"/>
  <c r="M519" i="3"/>
  <c r="N519" i="3" s="1"/>
  <c r="K519" i="3"/>
  <c r="AE519" i="3" s="1"/>
  <c r="V519" i="3" l="1"/>
  <c r="W519" i="3" s="1"/>
  <c r="A520" i="3"/>
  <c r="B520" i="3" s="1"/>
  <c r="L519" i="3"/>
  <c r="U519" i="3" l="1"/>
  <c r="Y518" i="3"/>
  <c r="AA520" i="3"/>
  <c r="AC520" i="3"/>
  <c r="Z520" i="3"/>
  <c r="AD520" i="3"/>
  <c r="P520" i="3"/>
  <c r="Q520" i="3" s="1"/>
  <c r="R520" i="3" s="1"/>
  <c r="S520" i="3" s="1"/>
  <c r="T520" i="3" l="1"/>
  <c r="D520" i="3" s="1"/>
  <c r="AG520" i="3" l="1"/>
  <c r="E520" i="3"/>
  <c r="H520" i="3" s="1"/>
  <c r="K520" i="3" s="1"/>
  <c r="AE520" i="3" s="1"/>
  <c r="AH520" i="3"/>
  <c r="G520" i="3"/>
  <c r="F520" i="3" l="1"/>
  <c r="I520" i="3"/>
  <c r="J520" i="3"/>
  <c r="M520" i="3"/>
  <c r="N520" i="3" s="1"/>
  <c r="V520" i="3"/>
  <c r="A521" i="3"/>
  <c r="B521" i="3" s="1"/>
  <c r="W520" i="3" l="1"/>
  <c r="L520" i="3"/>
  <c r="P521" i="3"/>
  <c r="Q521" i="3" s="1"/>
  <c r="R521" i="3" s="1"/>
  <c r="S521" i="3" s="1"/>
  <c r="AC521" i="3"/>
  <c r="AA521" i="3"/>
  <c r="AD521" i="3"/>
  <c r="Z521" i="3"/>
  <c r="U520" i="3" l="1"/>
  <c r="Y519" i="3"/>
  <c r="T521" i="3"/>
  <c r="AH521" i="3" s="1"/>
  <c r="AG521" i="3" l="1"/>
  <c r="D521" i="3"/>
  <c r="E521" i="3"/>
  <c r="H521" i="3" s="1"/>
  <c r="K521" i="3" s="1"/>
  <c r="AE521" i="3" s="1"/>
  <c r="F521" i="3" l="1"/>
  <c r="G521" i="3"/>
  <c r="I521" i="3" s="1"/>
  <c r="V521" i="3"/>
  <c r="A522" i="3"/>
  <c r="B522" i="3" s="1"/>
  <c r="M521" i="3" l="1"/>
  <c r="N521" i="3" s="1"/>
  <c r="J521" i="3"/>
  <c r="L521" i="3" s="1"/>
  <c r="W521" i="3"/>
  <c r="AC522" i="3"/>
  <c r="P522" i="3"/>
  <c r="Q522" i="3" s="1"/>
  <c r="R522" i="3" s="1"/>
  <c r="S522" i="3" s="1"/>
  <c r="AA522" i="3"/>
  <c r="AD522" i="3"/>
  <c r="Z522" i="3"/>
  <c r="U521" i="3" l="1"/>
  <c r="Y520" i="3"/>
  <c r="T522" i="3"/>
  <c r="AG522" i="3" s="1"/>
  <c r="AH522" i="3" l="1"/>
  <c r="E522" i="3"/>
  <c r="H522" i="3" s="1"/>
  <c r="D522" i="3"/>
  <c r="K522" i="3" l="1"/>
  <c r="AE522" i="3" s="1"/>
  <c r="F522" i="3"/>
  <c r="G522" i="3"/>
  <c r="I522" i="3" l="1"/>
  <c r="J522" i="3"/>
  <c r="M522" i="3"/>
  <c r="N522" i="3" s="1"/>
  <c r="V522" i="3"/>
  <c r="A523" i="3"/>
  <c r="B523" i="3" s="1"/>
  <c r="W522" i="3" l="1"/>
  <c r="L522" i="3"/>
  <c r="AC523" i="3"/>
  <c r="Z523" i="3"/>
  <c r="AD523" i="3"/>
  <c r="AA523" i="3"/>
  <c r="P523" i="3"/>
  <c r="Q523" i="3" s="1"/>
  <c r="R523" i="3" s="1"/>
  <c r="S523" i="3" s="1"/>
  <c r="U522" i="3" l="1"/>
  <c r="Y521" i="3"/>
  <c r="T523" i="3"/>
  <c r="AG523" i="3" s="1"/>
  <c r="AH523" i="3" l="1"/>
  <c r="D523" i="3"/>
  <c r="G523" i="3" s="1"/>
  <c r="E523" i="3"/>
  <c r="H523" i="3" s="1"/>
  <c r="F523" i="3" l="1"/>
  <c r="I523" i="3"/>
  <c r="J523" i="3"/>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AD525" i="3"/>
  <c r="Z525" i="3"/>
  <c r="P525" i="3"/>
  <c r="Q525" i="3" s="1"/>
  <c r="R525" i="3" s="1"/>
  <c r="S525" i="3" s="1"/>
  <c r="T525" i="3" l="1"/>
  <c r="AH525" i="3" s="1"/>
  <c r="U524" i="3"/>
  <c r="Y523" i="3"/>
  <c r="AG525" i="3" l="1"/>
  <c r="D525" i="3"/>
  <c r="E525" i="3"/>
  <c r="H525" i="3" s="1"/>
  <c r="F525" i="3" l="1"/>
  <c r="G525" i="3"/>
  <c r="K525" i="3"/>
  <c r="AE525" i="3" s="1"/>
  <c r="I525" i="3" l="1"/>
  <c r="J525" i="3"/>
  <c r="M525" i="3"/>
  <c r="N525" i="3" s="1"/>
  <c r="V525" i="3"/>
  <c r="A526" i="3"/>
  <c r="B526" i="3" s="1"/>
  <c r="L525" i="3" l="1"/>
  <c r="W525" i="3"/>
  <c r="AA526" i="3"/>
  <c r="P526" i="3"/>
  <c r="Q526" i="3" s="1"/>
  <c r="R526" i="3" s="1"/>
  <c r="S526" i="3" s="1"/>
  <c r="Z526" i="3"/>
  <c r="AD526" i="3"/>
  <c r="AC526" i="3"/>
  <c r="T526" i="3" l="1"/>
  <c r="U525" i="3"/>
  <c r="Y524" i="3"/>
  <c r="D526" i="3" l="1"/>
  <c r="G526" i="3" s="1"/>
  <c r="AH526" i="3"/>
  <c r="E526" i="3"/>
  <c r="H526" i="3" s="1"/>
  <c r="K526" i="3" s="1"/>
  <c r="AE526" i="3" s="1"/>
  <c r="AG526" i="3"/>
  <c r="F526" i="3" l="1"/>
  <c r="V526" i="3"/>
  <c r="A527" i="3"/>
  <c r="B527" i="3" s="1"/>
  <c r="I526" i="3"/>
  <c r="J526" i="3"/>
  <c r="M526" i="3"/>
  <c r="N526" i="3" s="1"/>
  <c r="W526" i="3" l="1"/>
  <c r="L526" i="3"/>
  <c r="AD527" i="3"/>
  <c r="Z527" i="3"/>
  <c r="AC527" i="3"/>
  <c r="P527" i="3"/>
  <c r="Q527" i="3" s="1"/>
  <c r="R527" i="3" s="1"/>
  <c r="S527" i="3" s="1"/>
  <c r="AA527" i="3"/>
  <c r="U526" i="3" l="1"/>
  <c r="Y525" i="3"/>
  <c r="T527" i="3"/>
  <c r="D527" i="3" l="1"/>
  <c r="G527" i="3" s="1"/>
  <c r="E527" i="3"/>
  <c r="H527" i="3" s="1"/>
  <c r="AG527" i="3"/>
  <c r="AH527" i="3"/>
  <c r="F527" i="3" l="1"/>
  <c r="I527" i="3"/>
  <c r="J527" i="3"/>
  <c r="M527" i="3"/>
  <c r="N527" i="3" s="1"/>
  <c r="K527" i="3"/>
  <c r="AE527" i="3" s="1"/>
  <c r="V527" i="3" l="1"/>
  <c r="W527" i="3" s="1"/>
  <c r="A528" i="3"/>
  <c r="B528" i="3" s="1"/>
  <c r="L527" i="3"/>
  <c r="U527" i="3" l="1"/>
  <c r="Y526" i="3"/>
  <c r="Z528" i="3"/>
  <c r="P528" i="3"/>
  <c r="Q528" i="3" s="1"/>
  <c r="R528" i="3" s="1"/>
  <c r="S528" i="3" s="1"/>
  <c r="AC528" i="3"/>
  <c r="AD528" i="3"/>
  <c r="AA528" i="3"/>
  <c r="T528" i="3" l="1"/>
  <c r="AH528" i="3" s="1"/>
  <c r="D528" i="3" l="1"/>
  <c r="E528" i="3"/>
  <c r="H528" i="3" s="1"/>
  <c r="K528" i="3" s="1"/>
  <c r="AE528" i="3" s="1"/>
  <c r="AG528" i="3"/>
  <c r="F528" i="3" l="1"/>
  <c r="G528" i="3"/>
  <c r="M528" i="3" s="1"/>
  <c r="N528" i="3" s="1"/>
  <c r="V528" i="3"/>
  <c r="A529" i="3"/>
  <c r="B529" i="3" s="1"/>
  <c r="I528" i="3" l="1"/>
  <c r="W528" i="3" s="1"/>
  <c r="J528" i="3"/>
  <c r="L528" i="3" s="1"/>
  <c r="Z529" i="3"/>
  <c r="AC529" i="3"/>
  <c r="AD529" i="3"/>
  <c r="P529" i="3"/>
  <c r="Q529" i="3" s="1"/>
  <c r="R529" i="3" s="1"/>
  <c r="S529" i="3" s="1"/>
  <c r="AA529" i="3"/>
  <c r="U528" i="3" l="1"/>
  <c r="Y527" i="3"/>
  <c r="T529" i="3"/>
  <c r="AG529" i="3" s="1"/>
  <c r="D529" i="3" l="1"/>
  <c r="G529" i="3" s="1"/>
  <c r="AH529" i="3"/>
  <c r="E529" i="3"/>
  <c r="H529" i="3" s="1"/>
  <c r="K529" i="3" s="1"/>
  <c r="AE529" i="3" s="1"/>
  <c r="F529" i="3" l="1"/>
  <c r="I529" i="3"/>
  <c r="J529" i="3"/>
  <c r="M529" i="3"/>
  <c r="N529" i="3" s="1"/>
  <c r="V529" i="3"/>
  <c r="A530" i="3"/>
  <c r="B530" i="3" s="1"/>
  <c r="W529" i="3" l="1"/>
  <c r="L529" i="3"/>
  <c r="Z530" i="3"/>
  <c r="AD530" i="3"/>
  <c r="P530" i="3"/>
  <c r="Q530" i="3" s="1"/>
  <c r="R530" i="3" s="1"/>
  <c r="S530" i="3" s="1"/>
  <c r="AC530" i="3"/>
  <c r="AA530" i="3"/>
  <c r="T530" i="3" l="1"/>
  <c r="AG530" i="3" s="1"/>
  <c r="U529" i="3"/>
  <c r="Y528" i="3"/>
  <c r="D530" i="3" l="1"/>
  <c r="G530" i="3" s="1"/>
  <c r="AH530" i="3"/>
  <c r="E530" i="3"/>
  <c r="H530" i="3" s="1"/>
  <c r="F530" i="3" l="1"/>
  <c r="I530" i="3"/>
  <c r="J530" i="3"/>
  <c r="M530" i="3"/>
  <c r="N530" i="3" s="1"/>
  <c r="K530" i="3"/>
  <c r="AE530" i="3" s="1"/>
  <c r="V530" i="3" l="1"/>
  <c r="W530" i="3" s="1"/>
  <c r="A531" i="3"/>
  <c r="B531" i="3" s="1"/>
  <c r="L530" i="3"/>
  <c r="U530" i="3" l="1"/>
  <c r="Y529" i="3"/>
  <c r="Z531" i="3"/>
  <c r="AD531" i="3"/>
  <c r="AC531" i="3"/>
  <c r="AA531" i="3"/>
  <c r="P531" i="3"/>
  <c r="Q531" i="3" s="1"/>
  <c r="R531" i="3" s="1"/>
  <c r="S531" i="3" s="1"/>
  <c r="T531" i="3" l="1"/>
  <c r="AG531" i="3" s="1"/>
  <c r="AH531" i="3" l="1"/>
  <c r="D531" i="3"/>
  <c r="E531" i="3"/>
  <c r="H531" i="3" s="1"/>
  <c r="K531" i="3" l="1"/>
  <c r="AE531" i="3" s="1"/>
  <c r="F531" i="3"/>
  <c r="G531" i="3"/>
  <c r="I531" i="3" l="1"/>
  <c r="J531" i="3"/>
  <c r="M531" i="3"/>
  <c r="N531" i="3" s="1"/>
  <c r="V531" i="3"/>
  <c r="A532" i="3"/>
  <c r="B532" i="3" s="1"/>
  <c r="W531" i="3" l="1"/>
  <c r="L531" i="3"/>
  <c r="AD532"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D537" i="3"/>
  <c r="AA537" i="3"/>
  <c r="U536" i="3" l="1"/>
  <c r="Y535" i="3"/>
  <c r="T537" i="3"/>
  <c r="AH537" i="3" s="1"/>
  <c r="AG537" i="3" l="1"/>
  <c r="E537" i="3"/>
  <c r="H537" i="3" s="1"/>
  <c r="D537" i="3"/>
  <c r="K537" i="3" l="1"/>
  <c r="AE537" i="3" s="1"/>
  <c r="F537" i="3"/>
  <c r="G537" i="3"/>
  <c r="I537" i="3" l="1"/>
  <c r="J537" i="3"/>
  <c r="M537" i="3"/>
  <c r="N537" i="3" s="1"/>
  <c r="V537" i="3"/>
  <c r="A538" i="3"/>
  <c r="B538" i="3" s="1"/>
  <c r="W537" i="3" l="1"/>
  <c r="L537" i="3"/>
  <c r="AA538" i="3"/>
  <c r="AC538" i="3"/>
  <c r="AD538" i="3"/>
  <c r="Z538" i="3"/>
  <c r="P538" i="3"/>
  <c r="Q538" i="3" s="1"/>
  <c r="R538" i="3" s="1"/>
  <c r="S538" i="3" s="1"/>
  <c r="T538" i="3" l="1"/>
  <c r="U537" i="3"/>
  <c r="Y536" i="3"/>
  <c r="D538" i="3" l="1"/>
  <c r="G538" i="3" s="1"/>
  <c r="AH538" i="3"/>
  <c r="AG538" i="3"/>
  <c r="E538" i="3"/>
  <c r="H538" i="3" s="1"/>
  <c r="F538" i="3" l="1"/>
  <c r="I538" i="3"/>
  <c r="J538" i="3"/>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D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M545" i="3"/>
  <c r="N545" i="3" s="1"/>
  <c r="AC546" i="3"/>
  <c r="P546" i="3"/>
  <c r="Q546" i="3" s="1"/>
  <c r="R546" i="3" s="1"/>
  <c r="S546" i="3" s="1"/>
  <c r="Z546" i="3"/>
  <c r="AA546" i="3"/>
  <c r="AD546" i="3"/>
  <c r="T546" i="3" l="1"/>
  <c r="L545" i="3"/>
  <c r="U545" i="3" l="1"/>
  <c r="D546" i="3" s="1"/>
  <c r="AG546" i="3"/>
  <c r="AH546" i="3"/>
  <c r="Y544" i="3"/>
  <c r="E546" i="3" l="1"/>
  <c r="H546" i="3" s="1"/>
  <c r="K546" i="3" s="1"/>
  <c r="AE546" i="3" s="1"/>
  <c r="G546" i="3"/>
  <c r="F546" i="3" l="1"/>
  <c r="V546" i="3"/>
  <c r="A547" i="3"/>
  <c r="B547" i="3" s="1"/>
  <c r="I546" i="3"/>
  <c r="J546" i="3"/>
  <c r="M546" i="3"/>
  <c r="N546" i="3" s="1"/>
  <c r="W546" i="3" l="1"/>
  <c r="L546" i="3"/>
  <c r="AC547" i="3"/>
  <c r="AD547" i="3"/>
  <c r="P547" i="3"/>
  <c r="Q547" i="3" s="1"/>
  <c r="R547" i="3" s="1"/>
  <c r="S547" i="3" s="1"/>
  <c r="AA547" i="3"/>
  <c r="Z547" i="3"/>
  <c r="U546" i="3" l="1"/>
  <c r="Y545" i="3"/>
  <c r="T547" i="3"/>
  <c r="AG547" i="3" s="1"/>
  <c r="E547" i="3" l="1"/>
  <c r="H547" i="3" s="1"/>
  <c r="K547" i="3" s="1"/>
  <c r="AE547" i="3" s="1"/>
  <c r="D547" i="3"/>
  <c r="G547" i="3" s="1"/>
  <c r="AH547" i="3"/>
  <c r="F547" i="3" l="1"/>
  <c r="I547" i="3"/>
  <c r="J547" i="3"/>
  <c r="M547" i="3"/>
  <c r="N547" i="3" s="1"/>
  <c r="V547" i="3"/>
  <c r="A548" i="3"/>
  <c r="B548" i="3" s="1"/>
  <c r="W547" i="3" l="1"/>
  <c r="L547" i="3"/>
  <c r="Z548" i="3"/>
  <c r="AA548" i="3"/>
  <c r="P548" i="3"/>
  <c r="Q548" i="3" s="1"/>
  <c r="R548" i="3" s="1"/>
  <c r="S548" i="3" s="1"/>
  <c r="AC548" i="3"/>
  <c r="AD548" i="3"/>
  <c r="U547" i="3" l="1"/>
  <c r="Y546" i="3"/>
  <c r="T548" i="3"/>
  <c r="E548" i="3" l="1"/>
  <c r="H548" i="3" s="1"/>
  <c r="K548" i="3" s="1"/>
  <c r="AE548" i="3" s="1"/>
  <c r="D548" i="3"/>
  <c r="AG548" i="3"/>
  <c r="AH548" i="3"/>
  <c r="V548" i="3" l="1"/>
  <c r="A549" i="3"/>
  <c r="B549" i="3" s="1"/>
  <c r="F548" i="3"/>
  <c r="G548" i="3"/>
  <c r="I548" i="3" l="1"/>
  <c r="W548" i="3" s="1"/>
  <c r="J548" i="3"/>
  <c r="M548" i="3"/>
  <c r="N548" i="3" s="1"/>
  <c r="P549" i="3"/>
  <c r="Q549" i="3" s="1"/>
  <c r="R549" i="3" s="1"/>
  <c r="S549" i="3" s="1"/>
  <c r="AC549" i="3"/>
  <c r="AA549" i="3"/>
  <c r="Z549" i="3"/>
  <c r="AD549" i="3"/>
  <c r="T549" i="3" l="1"/>
  <c r="L548" i="3"/>
  <c r="AH549" i="3" l="1"/>
  <c r="U548" i="3"/>
  <c r="E549" i="3" s="1"/>
  <c r="H549" i="3" s="1"/>
  <c r="AG549" i="3"/>
  <c r="Y547" i="3"/>
  <c r="K549" i="3" l="1"/>
  <c r="AE549" i="3" s="1"/>
  <c r="D549" i="3"/>
  <c r="V549" i="3" l="1"/>
  <c r="A550" i="3"/>
  <c r="B550" i="3" s="1"/>
  <c r="F549" i="3"/>
  <c r="G549" i="3"/>
  <c r="I549" i="3" l="1"/>
  <c r="W549" i="3" s="1"/>
  <c r="J549" i="3"/>
  <c r="M549" i="3"/>
  <c r="N549" i="3" s="1"/>
  <c r="P550" i="3"/>
  <c r="Q550" i="3" s="1"/>
  <c r="R550" i="3" s="1"/>
  <c r="S550" i="3" s="1"/>
  <c r="AA550" i="3"/>
  <c r="AC550" i="3"/>
  <c r="Z550" i="3"/>
  <c r="AD550" i="3"/>
  <c r="T550" i="3" l="1"/>
  <c r="L549" i="3"/>
  <c r="U549" i="3" l="1"/>
  <c r="D550" i="3" s="1"/>
  <c r="AH550" i="3"/>
  <c r="AG550" i="3"/>
  <c r="Y548" i="3"/>
  <c r="E550" i="3" l="1"/>
  <c r="H550" i="3" s="1"/>
  <c r="K550" i="3" s="1"/>
  <c r="AE550" i="3" s="1"/>
  <c r="G550" i="3"/>
  <c r="F550" i="3" l="1"/>
  <c r="I550" i="3"/>
  <c r="J550" i="3"/>
  <c r="M550" i="3"/>
  <c r="N550" i="3" s="1"/>
  <c r="V550" i="3"/>
  <c r="A551" i="3"/>
  <c r="B551" i="3" s="1"/>
  <c r="W550" i="3" l="1"/>
  <c r="L550" i="3"/>
  <c r="AD551" i="3"/>
  <c r="P551" i="3"/>
  <c r="Q551" i="3" s="1"/>
  <c r="R551" i="3" s="1"/>
  <c r="S551" i="3" s="1"/>
  <c r="AC551" i="3"/>
  <c r="AA551" i="3"/>
  <c r="Z551" i="3"/>
  <c r="T551" i="3" l="1"/>
  <c r="AG551" i="3" s="1"/>
  <c r="U550" i="3"/>
  <c r="Y549" i="3"/>
  <c r="D551" i="3" l="1"/>
  <c r="G551" i="3" s="1"/>
  <c r="AH551" i="3"/>
  <c r="E551" i="3"/>
  <c r="H551" i="3" s="1"/>
  <c r="F551" i="3" l="1"/>
  <c r="I551" i="3"/>
  <c r="J551" i="3"/>
  <c r="M551" i="3"/>
  <c r="N551" i="3" s="1"/>
  <c r="K551" i="3"/>
  <c r="AE551" i="3" s="1"/>
  <c r="V551" i="3" l="1"/>
  <c r="W551" i="3" s="1"/>
  <c r="A552" i="3"/>
  <c r="B552" i="3" s="1"/>
  <c r="L551" i="3"/>
  <c r="U551" i="3" l="1"/>
  <c r="Y550" i="3"/>
  <c r="AA552" i="3"/>
  <c r="P552" i="3"/>
  <c r="Q552" i="3" s="1"/>
  <c r="R552" i="3" s="1"/>
  <c r="S552" i="3" s="1"/>
  <c r="AC552" i="3"/>
  <c r="Z552" i="3"/>
  <c r="AD552" i="3"/>
  <c r="T552" i="3" l="1"/>
  <c r="D552" i="3" s="1"/>
  <c r="AG552" i="3" l="1"/>
  <c r="AH552" i="3"/>
  <c r="E552" i="3"/>
  <c r="H552" i="3" s="1"/>
  <c r="K552" i="3" s="1"/>
  <c r="AE552" i="3" s="1"/>
  <c r="G552" i="3"/>
  <c r="F552" i="3" l="1"/>
  <c r="I552" i="3"/>
  <c r="J552" i="3"/>
  <c r="M552" i="3"/>
  <c r="N552" i="3" s="1"/>
  <c r="V552" i="3"/>
  <c r="A553" i="3"/>
  <c r="B553" i="3" s="1"/>
  <c r="W552" i="3" l="1"/>
  <c r="L552" i="3"/>
  <c r="P553" i="3"/>
  <c r="Q553" i="3" s="1"/>
  <c r="R553" i="3" s="1"/>
  <c r="S553" i="3" s="1"/>
  <c r="Z553" i="3"/>
  <c r="AC553" i="3"/>
  <c r="AA553" i="3"/>
  <c r="AD553" i="3"/>
  <c r="T553" i="3" l="1"/>
  <c r="U552" i="3"/>
  <c r="Y551" i="3"/>
  <c r="D553" i="3" l="1"/>
  <c r="G553" i="3" s="1"/>
  <c r="AH553" i="3"/>
  <c r="AG553" i="3"/>
  <c r="E553" i="3"/>
  <c r="H553" i="3" s="1"/>
  <c r="K553" i="3" l="1"/>
  <c r="AE553" i="3" s="1"/>
  <c r="F553" i="3"/>
  <c r="I553" i="3"/>
  <c r="J553" i="3"/>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AD555" i="3"/>
  <c r="L554" i="3" l="1"/>
  <c r="T555" i="3"/>
  <c r="U554" i="3" l="1"/>
  <c r="E555" i="3" s="1"/>
  <c r="H555" i="3" s="1"/>
  <c r="AG555" i="3"/>
  <c r="AH555" i="3"/>
  <c r="Y553" i="3"/>
  <c r="K555" i="3" l="1"/>
  <c r="AE555" i="3" s="1"/>
  <c r="D555" i="3"/>
  <c r="F555" i="3" l="1"/>
  <c r="G555" i="3"/>
  <c r="V555" i="3"/>
  <c r="A556" i="3"/>
  <c r="B556" i="3" s="1"/>
  <c r="P556" i="3" l="1"/>
  <c r="Q556" i="3" s="1"/>
  <c r="R556" i="3" s="1"/>
  <c r="S556" i="3" s="1"/>
  <c r="AA556" i="3"/>
  <c r="AD556" i="3"/>
  <c r="Z556" i="3"/>
  <c r="AC556" i="3"/>
  <c r="I555" i="3"/>
  <c r="W555" i="3" s="1"/>
  <c r="J555" i="3"/>
  <c r="M555" i="3"/>
  <c r="N555" i="3" s="1"/>
  <c r="T556" i="3" l="1"/>
  <c r="L555" i="3"/>
  <c r="AH556" i="3" l="1"/>
  <c r="U555" i="3"/>
  <c r="D556" i="3" s="1"/>
  <c r="AG556" i="3"/>
  <c r="Y554" i="3"/>
  <c r="E556" i="3" l="1"/>
  <c r="H556" i="3" s="1"/>
  <c r="K556" i="3" s="1"/>
  <c r="AE556" i="3" s="1"/>
  <c r="G556" i="3"/>
  <c r="F556" i="3" l="1"/>
  <c r="I556" i="3"/>
  <c r="J556" i="3"/>
  <c r="M556" i="3"/>
  <c r="N556" i="3" s="1"/>
  <c r="V556" i="3"/>
  <c r="A557" i="3"/>
  <c r="B557" i="3" s="1"/>
  <c r="W556" i="3" l="1"/>
  <c r="L556" i="3"/>
  <c r="AD557" i="3"/>
  <c r="P557" i="3"/>
  <c r="Q557" i="3" s="1"/>
  <c r="R557" i="3" s="1"/>
  <c r="S557" i="3" s="1"/>
  <c r="AA557" i="3"/>
  <c r="AC557" i="3"/>
  <c r="Z557" i="3"/>
  <c r="U556" i="3" l="1"/>
  <c r="Y555" i="3"/>
  <c r="T557" i="3"/>
  <c r="AH557" i="3" s="1"/>
  <c r="D557" i="3" l="1"/>
  <c r="G557" i="3" s="1"/>
  <c r="AG557" i="3"/>
  <c r="E557" i="3"/>
  <c r="H557" i="3" s="1"/>
  <c r="K557" i="3" s="1"/>
  <c r="AE557" i="3" s="1"/>
  <c r="F557" i="3" l="1"/>
  <c r="I557" i="3"/>
  <c r="J557" i="3"/>
  <c r="M557" i="3"/>
  <c r="N557" i="3" s="1"/>
  <c r="V557" i="3"/>
  <c r="A558" i="3"/>
  <c r="B558" i="3" s="1"/>
  <c r="W557" i="3" l="1"/>
  <c r="L557" i="3"/>
  <c r="AA558" i="3"/>
  <c r="AD558" i="3"/>
  <c r="P558" i="3"/>
  <c r="Q558" i="3" s="1"/>
  <c r="R558" i="3" s="1"/>
  <c r="S558" i="3" s="1"/>
  <c r="Z558" i="3"/>
  <c r="AC558" i="3"/>
  <c r="T558" i="3" l="1"/>
  <c r="AG558" i="3" s="1"/>
  <c r="U557" i="3"/>
  <c r="Y556" i="3"/>
  <c r="E558" i="3" l="1"/>
  <c r="H558" i="3" s="1"/>
  <c r="AH558" i="3"/>
  <c r="D558" i="3"/>
  <c r="F558" i="3" l="1"/>
  <c r="G558" i="3"/>
  <c r="K558" i="3"/>
  <c r="AE558" i="3" s="1"/>
  <c r="I558" i="3" l="1"/>
  <c r="J558" i="3"/>
  <c r="M558" i="3"/>
  <c r="N558" i="3" s="1"/>
  <c r="V558" i="3"/>
  <c r="A559" i="3"/>
  <c r="B559" i="3" s="1"/>
  <c r="W558" i="3" l="1"/>
  <c r="L558" i="3"/>
  <c r="AC559" i="3"/>
  <c r="P559" i="3"/>
  <c r="Q559" i="3" s="1"/>
  <c r="R559" i="3" s="1"/>
  <c r="S559" i="3" s="1"/>
  <c r="AA559" i="3"/>
  <c r="Z559" i="3"/>
  <c r="AD559" i="3"/>
  <c r="T559" i="3" l="1"/>
  <c r="U558" i="3"/>
  <c r="Y557" i="3"/>
  <c r="E559" i="3" l="1"/>
  <c r="H559" i="3" s="1"/>
  <c r="K559" i="3" s="1"/>
  <c r="AE559" i="3" s="1"/>
  <c r="AH559" i="3"/>
  <c r="AG559" i="3"/>
  <c r="D559" i="3"/>
  <c r="V559" i="3" l="1"/>
  <c r="A560" i="3"/>
  <c r="B560" i="3" s="1"/>
  <c r="F559" i="3"/>
  <c r="G559" i="3"/>
  <c r="I559" i="3" l="1"/>
  <c r="W559" i="3" s="1"/>
  <c r="J559" i="3"/>
  <c r="M559" i="3"/>
  <c r="N559" i="3" s="1"/>
  <c r="AD560" i="3"/>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M560" i="3"/>
  <c r="N560" i="3" s="1"/>
  <c r="W560" i="3" l="1"/>
  <c r="L560" i="3"/>
  <c r="AA561" i="3"/>
  <c r="P561" i="3"/>
  <c r="Q561" i="3" s="1"/>
  <c r="R561" i="3" s="1"/>
  <c r="S561" i="3" s="1"/>
  <c r="Z561" i="3"/>
  <c r="AD561" i="3"/>
  <c r="AC561" i="3"/>
  <c r="U560" i="3" l="1"/>
  <c r="Y559" i="3"/>
  <c r="T561" i="3"/>
  <c r="E561" i="3" l="1"/>
  <c r="H561" i="3" s="1"/>
  <c r="K561" i="3" s="1"/>
  <c r="AE561" i="3" s="1"/>
  <c r="D561" i="3"/>
  <c r="AH561" i="3"/>
  <c r="AG561" i="3"/>
  <c r="F561" i="3" l="1"/>
  <c r="G561" i="3"/>
  <c r="M561" i="3" s="1"/>
  <c r="N561" i="3" s="1"/>
  <c r="V561" i="3"/>
  <c r="A562" i="3"/>
  <c r="B562" i="3" s="1"/>
  <c r="I561" i="3" l="1"/>
  <c r="W561" i="3" s="1"/>
  <c r="J561" i="3"/>
  <c r="L561" i="3" s="1"/>
  <c r="Z562" i="3"/>
  <c r="AA562" i="3"/>
  <c r="AD562" i="3"/>
  <c r="P562" i="3"/>
  <c r="Q562" i="3" s="1"/>
  <c r="R562" i="3" s="1"/>
  <c r="S562" i="3" s="1"/>
  <c r="AC562" i="3"/>
  <c r="U561" i="3" l="1"/>
  <c r="Y560" i="3"/>
  <c r="T562" i="3"/>
  <c r="AH562" i="3" s="1"/>
  <c r="AG562" i="3" l="1"/>
  <c r="E562" i="3"/>
  <c r="H562" i="3" s="1"/>
  <c r="K562" i="3" s="1"/>
  <c r="AE562" i="3" s="1"/>
  <c r="D562" i="3"/>
  <c r="F562" i="3" l="1"/>
  <c r="G562" i="3"/>
  <c r="J562" i="3" s="1"/>
  <c r="V562" i="3"/>
  <c r="A563" i="3"/>
  <c r="B563" i="3" s="1"/>
  <c r="M562" i="3" l="1"/>
  <c r="N562" i="3" s="1"/>
  <c r="I562" i="3"/>
  <c r="W562" i="3" s="1"/>
  <c r="L562" i="3"/>
  <c r="Z563" i="3"/>
  <c r="P563" i="3"/>
  <c r="Q563" i="3" s="1"/>
  <c r="R563" i="3" s="1"/>
  <c r="S563" i="3" s="1"/>
  <c r="AC563" i="3"/>
  <c r="AA563" i="3"/>
  <c r="AD563" i="3"/>
  <c r="U562" i="3" l="1"/>
  <c r="Y561" i="3"/>
  <c r="T563" i="3"/>
  <c r="AH563" i="3" s="1"/>
  <c r="AG563" i="3" l="1"/>
  <c r="D563" i="3"/>
  <c r="E563" i="3"/>
  <c r="H563" i="3" s="1"/>
  <c r="K563" i="3" s="1"/>
  <c r="AE563" i="3" s="1"/>
  <c r="F563" i="3" l="1"/>
  <c r="G563" i="3"/>
  <c r="M563" i="3" s="1"/>
  <c r="N563" i="3" s="1"/>
  <c r="V563" i="3"/>
  <c r="A564" i="3"/>
  <c r="B564" i="3" s="1"/>
  <c r="I563" i="3" l="1"/>
  <c r="W563" i="3" s="1"/>
  <c r="J563" i="3"/>
  <c r="L563" i="3" s="1"/>
  <c r="Z564" i="3"/>
  <c r="P564" i="3"/>
  <c r="Q564" i="3" s="1"/>
  <c r="R564" i="3" s="1"/>
  <c r="S564" i="3" s="1"/>
  <c r="AC564" i="3"/>
  <c r="AA564" i="3"/>
  <c r="U563" i="3" l="1"/>
  <c r="Y562" i="3"/>
  <c r="T564" i="3"/>
  <c r="AH564" i="3" s="1"/>
  <c r="D564" i="3" l="1"/>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AD565" i="3"/>
  <c r="U564" i="3" l="1"/>
  <c r="Y563" i="3"/>
  <c r="T565" i="3"/>
  <c r="E565" i="3" l="1"/>
  <c r="H565" i="3" s="1"/>
  <c r="K565" i="3" s="1"/>
  <c r="AE565" i="3" s="1"/>
  <c r="D565" i="3"/>
  <c r="AG565" i="3"/>
  <c r="AH565" i="3"/>
  <c r="V565" i="3" l="1"/>
  <c r="A566" i="3"/>
  <c r="B566" i="3" s="1"/>
  <c r="F565" i="3"/>
  <c r="G565" i="3"/>
  <c r="I565" i="3" l="1"/>
  <c r="W565" i="3" s="1"/>
  <c r="J565" i="3"/>
  <c r="M565" i="3"/>
  <c r="N565" i="3" s="1"/>
  <c r="AD566" i="3"/>
  <c r="Z566" i="3"/>
  <c r="AA566" i="3"/>
  <c r="P566" i="3"/>
  <c r="Q566" i="3" s="1"/>
  <c r="R566" i="3" s="1"/>
  <c r="S566" i="3" s="1"/>
  <c r="AC566" i="3"/>
  <c r="L565" i="3" l="1"/>
  <c r="T566" i="3"/>
  <c r="AG566" i="3" l="1"/>
  <c r="AH566" i="3"/>
  <c r="U565" i="3"/>
  <c r="D566" i="3" s="1"/>
  <c r="Y564" i="3"/>
  <c r="G566" i="3" l="1"/>
  <c r="E566" i="3"/>
  <c r="H566" i="3" s="1"/>
  <c r="F566" i="3" l="1"/>
  <c r="I566" i="3"/>
  <c r="J566" i="3"/>
  <c r="M566" i="3"/>
  <c r="N566" i="3" s="1"/>
  <c r="K566" i="3"/>
  <c r="AE566" i="3" s="1"/>
  <c r="V566" i="3" l="1"/>
  <c r="W566" i="3" s="1"/>
  <c r="A567" i="3"/>
  <c r="B567" i="3" s="1"/>
  <c r="L566" i="3"/>
  <c r="U566" i="3" l="1"/>
  <c r="Y565" i="3"/>
  <c r="P567" i="3"/>
  <c r="Q567" i="3" s="1"/>
  <c r="R567" i="3" s="1"/>
  <c r="S567" i="3" s="1"/>
  <c r="AA567" i="3"/>
  <c r="AD567" i="3"/>
  <c r="Z567" i="3"/>
  <c r="AC567" i="3"/>
  <c r="T567" i="3" l="1"/>
  <c r="AG567" i="3" s="1"/>
  <c r="AH567" i="3" l="1"/>
  <c r="E567" i="3"/>
  <c r="H567" i="3" s="1"/>
  <c r="K567" i="3" s="1"/>
  <c r="AE567" i="3" s="1"/>
  <c r="D567" i="3"/>
  <c r="G567" i="3" s="1"/>
  <c r="F567" i="3" l="1"/>
  <c r="I567" i="3"/>
  <c r="J567" i="3"/>
  <c r="M567" i="3"/>
  <c r="N567" i="3" s="1"/>
  <c r="V567" i="3"/>
  <c r="A568" i="3"/>
  <c r="B568" i="3" s="1"/>
  <c r="W567" i="3" l="1"/>
  <c r="L567" i="3"/>
  <c r="AC568" i="3"/>
  <c r="AD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M568" i="3"/>
  <c r="N568" i="3" s="1"/>
  <c r="L568" i="3" l="1"/>
  <c r="W568" i="3"/>
  <c r="AA569" i="3"/>
  <c r="AD569" i="3"/>
  <c r="P569" i="3"/>
  <c r="Q569" i="3" s="1"/>
  <c r="R569" i="3" s="1"/>
  <c r="S569" i="3" s="1"/>
  <c r="AC569" i="3"/>
  <c r="Z569" i="3"/>
  <c r="T569" i="3" l="1"/>
  <c r="AH569" i="3" s="1"/>
  <c r="U568" i="3"/>
  <c r="Y567" i="3"/>
  <c r="D569" i="3" l="1"/>
  <c r="G569" i="3" s="1"/>
  <c r="AG569" i="3"/>
  <c r="E569" i="3"/>
  <c r="H569" i="3" s="1"/>
  <c r="F569" i="3" l="1"/>
  <c r="I569" i="3"/>
  <c r="J569" i="3"/>
  <c r="M569" i="3"/>
  <c r="N569" i="3" s="1"/>
  <c r="K569" i="3"/>
  <c r="AE569" i="3" s="1"/>
  <c r="L569" i="3" l="1"/>
  <c r="V569" i="3"/>
  <c r="W569" i="3" s="1"/>
  <c r="A570" i="3"/>
  <c r="B570" i="3" s="1"/>
  <c r="AC570" i="3" l="1"/>
  <c r="P570" i="3"/>
  <c r="Q570" i="3" s="1"/>
  <c r="R570" i="3" s="1"/>
  <c r="S570" i="3" s="1"/>
  <c r="AD570" i="3"/>
  <c r="Z570" i="3"/>
  <c r="AA570" i="3"/>
  <c r="U569" i="3"/>
  <c r="Y568" i="3"/>
  <c r="T570" i="3" l="1"/>
  <c r="D570" i="3" l="1"/>
  <c r="E570" i="3"/>
  <c r="H570" i="3" s="1"/>
  <c r="AG570" i="3"/>
  <c r="AH570" i="3"/>
  <c r="F570" i="3" l="1"/>
  <c r="G570" i="3"/>
  <c r="K570" i="3"/>
  <c r="AE570" i="3" s="1"/>
  <c r="V570" i="3" l="1"/>
  <c r="A571" i="3"/>
  <c r="B571" i="3" s="1"/>
  <c r="I570" i="3"/>
  <c r="J570" i="3"/>
  <c r="M570" i="3"/>
  <c r="N570" i="3" s="1"/>
  <c r="W570" i="3" l="1"/>
  <c r="L570" i="3"/>
  <c r="P571" i="3"/>
  <c r="Q571" i="3" s="1"/>
  <c r="R571" i="3" s="1"/>
  <c r="S571" i="3" s="1"/>
  <c r="AD571" i="3"/>
  <c r="AA571" i="3"/>
  <c r="Z571" i="3"/>
  <c r="AC571" i="3"/>
  <c r="U570" i="3" l="1"/>
  <c r="Y569" i="3"/>
  <c r="T571" i="3"/>
  <c r="D571" i="3" l="1"/>
  <c r="G571" i="3" s="1"/>
  <c r="AG571" i="3"/>
  <c r="AH571" i="3"/>
  <c r="E571" i="3"/>
  <c r="H571" i="3" s="1"/>
  <c r="K571" i="3" s="1"/>
  <c r="AE571" i="3" s="1"/>
  <c r="F571" i="3" l="1"/>
  <c r="V571" i="3"/>
  <c r="A572" i="3"/>
  <c r="B572" i="3" s="1"/>
  <c r="I571" i="3"/>
  <c r="J571" i="3"/>
  <c r="M571" i="3"/>
  <c r="N571" i="3" s="1"/>
  <c r="W571" i="3" l="1"/>
  <c r="L571" i="3"/>
  <c r="AC572" i="3"/>
  <c r="AD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M572" i="3"/>
  <c r="N572" i="3" s="1"/>
  <c r="W572" i="3" l="1"/>
  <c r="L572" i="3"/>
  <c r="P573" i="3"/>
  <c r="Q573" i="3" s="1"/>
  <c r="R573" i="3" s="1"/>
  <c r="S573" i="3" s="1"/>
  <c r="Z573" i="3"/>
  <c r="AC573" i="3"/>
  <c r="AA573" i="3"/>
  <c r="AD573" i="3"/>
  <c r="U572" i="3" l="1"/>
  <c r="Y571" i="3"/>
  <c r="T573" i="3"/>
  <c r="E573" i="3" l="1"/>
  <c r="H573" i="3" s="1"/>
  <c r="K573" i="3" s="1"/>
  <c r="AE573" i="3" s="1"/>
  <c r="D573" i="3"/>
  <c r="AH573" i="3"/>
  <c r="AG573" i="3"/>
  <c r="F573" i="3" l="1"/>
  <c r="G573" i="3"/>
  <c r="I573" i="3" s="1"/>
  <c r="V573" i="3"/>
  <c r="A574" i="3"/>
  <c r="B574" i="3" s="1"/>
  <c r="J573" i="3" l="1"/>
  <c r="L573" i="3" s="1"/>
  <c r="M573" i="3"/>
  <c r="N573" i="3" s="1"/>
  <c r="W573" i="3"/>
  <c r="AA574" i="3"/>
  <c r="Z574" i="3"/>
  <c r="P574" i="3"/>
  <c r="Q574" i="3" s="1"/>
  <c r="R574" i="3" s="1"/>
  <c r="S574" i="3" s="1"/>
  <c r="AC574" i="3"/>
  <c r="U573" i="3" l="1"/>
  <c r="Y572" i="3"/>
  <c r="T574" i="3"/>
  <c r="AH574" i="3" s="1"/>
  <c r="D574" i="3" l="1"/>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AD575" i="3"/>
  <c r="T575" i="3" l="1"/>
  <c r="AH575" i="3" s="1"/>
  <c r="AG575" i="3" l="1"/>
  <c r="E575" i="3"/>
  <c r="H575" i="3" s="1"/>
  <c r="D575" i="3"/>
  <c r="K575" i="3" l="1"/>
  <c r="AE575" i="3" s="1"/>
  <c r="F575" i="3"/>
  <c r="G575" i="3"/>
  <c r="V575" i="3" l="1"/>
  <c r="A576" i="3"/>
  <c r="B576" i="3" s="1"/>
  <c r="I575" i="3"/>
  <c r="J575" i="3"/>
  <c r="M575" i="3"/>
  <c r="N575" i="3" s="1"/>
  <c r="W575" i="3" l="1"/>
  <c r="L575" i="3"/>
  <c r="AA576" i="3"/>
  <c r="P576" i="3"/>
  <c r="Q576" i="3" s="1"/>
  <c r="R576" i="3" s="1"/>
  <c r="S576" i="3" s="1"/>
  <c r="AD576" i="3"/>
  <c r="Z576" i="3"/>
  <c r="AC576" i="3"/>
  <c r="U575" i="3" l="1"/>
  <c r="Y574" i="3"/>
  <c r="T576" i="3"/>
  <c r="E576" i="3" l="1"/>
  <c r="H576" i="3" s="1"/>
  <c r="K576" i="3" s="1"/>
  <c r="AE576" i="3" s="1"/>
  <c r="AH576" i="3"/>
  <c r="D576" i="3"/>
  <c r="G576" i="3" s="1"/>
  <c r="AG576" i="3"/>
  <c r="F576" i="3" l="1"/>
  <c r="V576" i="3"/>
  <c r="A577" i="3"/>
  <c r="B577" i="3" s="1"/>
  <c r="I576" i="3"/>
  <c r="J576" i="3"/>
  <c r="M576" i="3"/>
  <c r="N576" i="3" s="1"/>
  <c r="W576" i="3" l="1"/>
  <c r="L576" i="3"/>
  <c r="P577" i="3"/>
  <c r="Q577" i="3" s="1"/>
  <c r="R577" i="3" s="1"/>
  <c r="S577" i="3" s="1"/>
  <c r="AD577" i="3"/>
  <c r="AC577" i="3"/>
  <c r="AA577" i="3"/>
  <c r="Z577" i="3"/>
  <c r="U576" i="3" l="1"/>
  <c r="Y575" i="3"/>
  <c r="T577" i="3"/>
  <c r="AH577" i="3" s="1"/>
  <c r="E577" i="3" l="1"/>
  <c r="H577" i="3" s="1"/>
  <c r="K577" i="3" s="1"/>
  <c r="AE577" i="3" s="1"/>
  <c r="AG577" i="3"/>
  <c r="D577" i="3"/>
  <c r="F577" i="3" l="1"/>
  <c r="G577" i="3"/>
  <c r="J577" i="3" s="1"/>
  <c r="V577" i="3"/>
  <c r="A578" i="3"/>
  <c r="B578" i="3" s="1"/>
  <c r="M577" i="3" l="1"/>
  <c r="N577" i="3" s="1"/>
  <c r="I577" i="3"/>
  <c r="W577" i="3" s="1"/>
  <c r="L577" i="3"/>
  <c r="AC578" i="3"/>
  <c r="AD578" i="3"/>
  <c r="P578" i="3"/>
  <c r="Q578" i="3" s="1"/>
  <c r="R578" i="3" s="1"/>
  <c r="S578" i="3" s="1"/>
  <c r="Z578" i="3"/>
  <c r="AA578" i="3"/>
  <c r="U577" i="3" l="1"/>
  <c r="Y576" i="3"/>
  <c r="T578" i="3"/>
  <c r="AG578" i="3" s="1"/>
  <c r="D578" i="3" l="1"/>
  <c r="G578" i="3" s="1"/>
  <c r="AH578" i="3"/>
  <c r="E578" i="3"/>
  <c r="H578" i="3" s="1"/>
  <c r="K578" i="3" s="1"/>
  <c r="AE578" i="3" s="1"/>
  <c r="F578" i="3" l="1"/>
  <c r="I578" i="3"/>
  <c r="J578" i="3"/>
  <c r="M578" i="3"/>
  <c r="N578" i="3" s="1"/>
  <c r="V578" i="3"/>
  <c r="A579" i="3"/>
  <c r="B579" i="3" s="1"/>
  <c r="W578" i="3" l="1"/>
  <c r="L578" i="3"/>
  <c r="AC579" i="3"/>
  <c r="Z579" i="3"/>
  <c r="P579" i="3"/>
  <c r="Q579" i="3" s="1"/>
  <c r="R579" i="3" s="1"/>
  <c r="S579" i="3" s="1"/>
  <c r="AD579" i="3"/>
  <c r="AA579" i="3"/>
  <c r="U578" i="3" l="1"/>
  <c r="Y577" i="3"/>
  <c r="T579" i="3"/>
  <c r="AG579" i="3" s="1"/>
  <c r="E579" i="3" l="1"/>
  <c r="H579" i="3" s="1"/>
  <c r="K579" i="3" s="1"/>
  <c r="AE579" i="3" s="1"/>
  <c r="AH579" i="3"/>
  <c r="D579" i="3"/>
  <c r="F579" i="3" l="1"/>
  <c r="G579" i="3"/>
  <c r="M579" i="3" s="1"/>
  <c r="N579" i="3" s="1"/>
  <c r="V579" i="3"/>
  <c r="A580" i="3"/>
  <c r="B580" i="3" s="1"/>
  <c r="I579" i="3" l="1"/>
  <c r="W579" i="3" s="1"/>
  <c r="J579" i="3"/>
  <c r="L579" i="3" s="1"/>
  <c r="AD580" i="3"/>
  <c r="P580" i="3"/>
  <c r="Q580" i="3" s="1"/>
  <c r="R580" i="3" s="1"/>
  <c r="S580" i="3" s="1"/>
  <c r="AA580" i="3"/>
  <c r="AC580" i="3"/>
  <c r="Z580" i="3"/>
  <c r="U579" i="3" l="1"/>
  <c r="Y578" i="3"/>
  <c r="T580" i="3"/>
  <c r="AH580" i="3" s="1"/>
  <c r="E580" i="3" l="1"/>
  <c r="H580" i="3" s="1"/>
  <c r="D580" i="3"/>
  <c r="AG580" i="3"/>
  <c r="K580" i="3" l="1"/>
  <c r="AE580" i="3" s="1"/>
  <c r="F580" i="3"/>
  <c r="G580" i="3"/>
  <c r="I580" i="3" l="1"/>
  <c r="J580" i="3"/>
  <c r="M580" i="3"/>
  <c r="N580" i="3" s="1"/>
  <c r="V580" i="3"/>
  <c r="A581" i="3"/>
  <c r="B581" i="3" s="1"/>
  <c r="W580" i="3" l="1"/>
  <c r="P581" i="3"/>
  <c r="Q581" i="3" s="1"/>
  <c r="R581" i="3" s="1"/>
  <c r="S581" i="3" s="1"/>
  <c r="Z581" i="3"/>
  <c r="AA581" i="3"/>
  <c r="AC581" i="3"/>
  <c r="AD581" i="3"/>
  <c r="L580" i="3"/>
  <c r="T581" i="3" l="1"/>
  <c r="AH581" i="3" s="1"/>
  <c r="U580" i="3"/>
  <c r="Y579" i="3"/>
  <c r="D581" i="3" l="1"/>
  <c r="G581" i="3" s="1"/>
  <c r="AG581" i="3"/>
  <c r="E581" i="3"/>
  <c r="H581" i="3" s="1"/>
  <c r="I581" i="3" l="1"/>
  <c r="J581" i="3"/>
  <c r="M581" i="3"/>
  <c r="N581" i="3" s="1"/>
  <c r="F581" i="3"/>
  <c r="K581" i="3"/>
  <c r="AE581" i="3" s="1"/>
  <c r="L581" i="3" l="1"/>
  <c r="V581" i="3"/>
  <c r="W581" i="3" s="1"/>
  <c r="A582" i="3"/>
  <c r="B582" i="3" s="1"/>
  <c r="P582" i="3" l="1"/>
  <c r="Q582" i="3" s="1"/>
  <c r="R582" i="3" s="1"/>
  <c r="S582" i="3" s="1"/>
  <c r="Z582" i="3"/>
  <c r="AD582" i="3"/>
  <c r="AC582" i="3"/>
  <c r="AA582" i="3"/>
  <c r="U581" i="3"/>
  <c r="Y580" i="3"/>
  <c r="T582" i="3" l="1"/>
  <c r="AH582" i="3" s="1"/>
  <c r="E582" i="3" l="1"/>
  <c r="H582" i="3" s="1"/>
  <c r="K582" i="3" s="1"/>
  <c r="AE582" i="3" s="1"/>
  <c r="AG582" i="3"/>
  <c r="D582" i="3"/>
  <c r="V582" i="3" l="1"/>
  <c r="A583" i="3"/>
  <c r="B583" i="3" s="1"/>
  <c r="F582" i="3"/>
  <c r="G582" i="3"/>
  <c r="I582" i="3" l="1"/>
  <c r="W582" i="3" s="1"/>
  <c r="J582" i="3"/>
  <c r="M582" i="3"/>
  <c r="N582" i="3" s="1"/>
  <c r="AD583" i="3"/>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AD587" i="3"/>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M587" i="3"/>
  <c r="N587" i="3" s="1"/>
  <c r="L587" i="3" l="1"/>
  <c r="V587" i="3"/>
  <c r="W587" i="3" s="1"/>
  <c r="A588" i="3"/>
  <c r="B588" i="3" s="1"/>
  <c r="U587" i="3" l="1"/>
  <c r="Y586" i="3"/>
  <c r="P588" i="3"/>
  <c r="Q588" i="3" s="1"/>
  <c r="R588" i="3" s="1"/>
  <c r="S588" i="3" s="1"/>
  <c r="AD588" i="3"/>
  <c r="Z588" i="3"/>
  <c r="AC588" i="3"/>
  <c r="AA588" i="3"/>
  <c r="T588" i="3" l="1"/>
  <c r="AH588" i="3" s="1"/>
  <c r="E588" i="3" l="1"/>
  <c r="H588" i="3" s="1"/>
  <c r="K588" i="3" s="1"/>
  <c r="AE588" i="3" s="1"/>
  <c r="AG588" i="3"/>
  <c r="D588" i="3"/>
  <c r="G588" i="3" s="1"/>
  <c r="F588" i="3" l="1"/>
  <c r="I588" i="3"/>
  <c r="J588" i="3"/>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AD595" i="3"/>
  <c r="T595" i="3" l="1"/>
  <c r="L594" i="3"/>
  <c r="AH595" i="3" l="1"/>
  <c r="U594" i="3"/>
  <c r="E595" i="3" s="1"/>
  <c r="H595" i="3" s="1"/>
  <c r="AG595" i="3"/>
  <c r="Y593" i="3"/>
  <c r="D595" i="3" l="1"/>
  <c r="G595" i="3" s="1"/>
  <c r="K595" i="3"/>
  <c r="AE595" i="3" s="1"/>
  <c r="F595" i="3" l="1"/>
  <c r="V595" i="3"/>
  <c r="A596" i="3"/>
  <c r="B596" i="3" s="1"/>
  <c r="I595" i="3"/>
  <c r="J595" i="3"/>
  <c r="M595" i="3"/>
  <c r="N595" i="3" s="1"/>
  <c r="W595" i="3" l="1"/>
  <c r="L595" i="3"/>
  <c r="P596" i="3"/>
  <c r="Q596" i="3" s="1"/>
  <c r="R596" i="3" s="1"/>
  <c r="S596" i="3" s="1"/>
  <c r="AA596" i="3"/>
  <c r="AC596" i="3"/>
  <c r="AD596" i="3"/>
  <c r="Z596" i="3"/>
  <c r="T596" i="3" l="1"/>
  <c r="AG596" i="3" s="1"/>
  <c r="U595" i="3"/>
  <c r="Y594" i="3"/>
  <c r="D596" i="3" l="1"/>
  <c r="E596" i="3"/>
  <c r="H596" i="3" s="1"/>
  <c r="AH596" i="3"/>
  <c r="F596" i="3" l="1"/>
  <c r="G596" i="3"/>
  <c r="K596" i="3"/>
  <c r="AE596" i="3" s="1"/>
  <c r="V596" i="3" l="1"/>
  <c r="A597" i="3"/>
  <c r="B597" i="3" s="1"/>
  <c r="I596" i="3"/>
  <c r="J596" i="3"/>
  <c r="M596" i="3"/>
  <c r="N596" i="3" s="1"/>
  <c r="W596" i="3" l="1"/>
  <c r="L596" i="3"/>
  <c r="Z597" i="3"/>
  <c r="P597" i="3"/>
  <c r="Q597" i="3" s="1"/>
  <c r="R597" i="3" s="1"/>
  <c r="S597" i="3" s="1"/>
  <c r="AA597" i="3"/>
  <c r="AC597" i="3"/>
  <c r="AD597" i="3"/>
  <c r="U596" i="3" l="1"/>
  <c r="Y595" i="3"/>
  <c r="T597" i="3"/>
  <c r="E597" i="3" l="1"/>
  <c r="H597" i="3" s="1"/>
  <c r="K597" i="3" s="1"/>
  <c r="AE597" i="3" s="1"/>
  <c r="AH597" i="3"/>
  <c r="AG597" i="3"/>
  <c r="D597" i="3"/>
  <c r="G597" i="3" s="1"/>
  <c r="F597" i="3" l="1"/>
  <c r="I597" i="3"/>
  <c r="J597" i="3"/>
  <c r="M597" i="3"/>
  <c r="N597" i="3" s="1"/>
  <c r="V597" i="3"/>
  <c r="A598" i="3"/>
  <c r="B598" i="3" s="1"/>
  <c r="W597" i="3" l="1"/>
  <c r="L597" i="3"/>
  <c r="AC598" i="3"/>
  <c r="P598" i="3"/>
  <c r="Q598" i="3" s="1"/>
  <c r="R598" i="3" s="1"/>
  <c r="S598" i="3" s="1"/>
  <c r="Z598" i="3"/>
  <c r="AA598" i="3"/>
  <c r="AD598" i="3"/>
  <c r="U597" i="3" l="1"/>
  <c r="Y596" i="3"/>
  <c r="T598" i="3"/>
  <c r="AG598" i="3" s="1"/>
  <c r="AH598" i="3" l="1"/>
  <c r="E598" i="3"/>
  <c r="H598" i="3" s="1"/>
  <c r="K598" i="3" s="1"/>
  <c r="AE598" i="3" s="1"/>
  <c r="D598" i="3"/>
  <c r="V598" i="3" l="1"/>
  <c r="A599" i="3"/>
  <c r="B599" i="3" s="1"/>
  <c r="F598" i="3"/>
  <c r="G598" i="3"/>
  <c r="I598" i="3" l="1"/>
  <c r="W598" i="3" s="1"/>
  <c r="J598" i="3"/>
  <c r="M598" i="3"/>
  <c r="N598" i="3" s="1"/>
  <c r="AC599" i="3"/>
  <c r="AA599" i="3"/>
  <c r="P599" i="3"/>
  <c r="Q599" i="3" s="1"/>
  <c r="R599" i="3" s="1"/>
  <c r="S599" i="3" s="1"/>
  <c r="AD599" i="3"/>
  <c r="Z599" i="3"/>
  <c r="T599" i="3" l="1"/>
  <c r="L598" i="3"/>
  <c r="U598" i="3" l="1"/>
  <c r="D599" i="3" s="1"/>
  <c r="AG599" i="3"/>
  <c r="AH599" i="3"/>
  <c r="Y597" i="3"/>
  <c r="G599" i="3" l="1"/>
  <c r="E599" i="3"/>
  <c r="H599" i="3" s="1"/>
  <c r="I599" i="3" l="1"/>
  <c r="J599" i="3"/>
  <c r="M599" i="3"/>
  <c r="N599" i="3" s="1"/>
  <c r="K599" i="3"/>
  <c r="AE599" i="3" s="1"/>
  <c r="F599" i="3"/>
  <c r="V599" i="3" l="1"/>
  <c r="W599" i="3" s="1"/>
  <c r="A600" i="3"/>
  <c r="B600" i="3" s="1"/>
  <c r="L599" i="3"/>
  <c r="U599" i="3" l="1"/>
  <c r="Y598" i="3"/>
  <c r="AC600" i="3"/>
  <c r="P600" i="3"/>
  <c r="Q600" i="3" s="1"/>
  <c r="R600" i="3" s="1"/>
  <c r="S600" i="3" s="1"/>
  <c r="Z600" i="3"/>
  <c r="AA600" i="3"/>
  <c r="AD600" i="3"/>
  <c r="T600" i="3" l="1"/>
  <c r="E600" i="3" s="1"/>
  <c r="H600" i="3" s="1"/>
  <c r="AH600" i="3" l="1"/>
  <c r="K600" i="3"/>
  <c r="AE600" i="3" s="1"/>
  <c r="AG600" i="3"/>
  <c r="D600" i="3"/>
  <c r="V600" i="3" l="1"/>
  <c r="A601" i="3"/>
  <c r="B601" i="3" s="1"/>
  <c r="F600" i="3"/>
  <c r="G600" i="3"/>
  <c r="I600" i="3" l="1"/>
  <c r="W600" i="3" s="1"/>
  <c r="J600" i="3"/>
  <c r="M600" i="3"/>
  <c r="N600" i="3" s="1"/>
  <c r="P601" i="3"/>
  <c r="Q601" i="3" s="1"/>
  <c r="R601" i="3" s="1"/>
  <c r="S601" i="3" s="1"/>
  <c r="AA601" i="3"/>
  <c r="AC601" i="3"/>
  <c r="Z601" i="3"/>
  <c r="AD601" i="3"/>
  <c r="T601" i="3" l="1"/>
  <c r="L600" i="3"/>
  <c r="AH601" i="3" l="1"/>
  <c r="U600" i="3"/>
  <c r="D601" i="3" s="1"/>
  <c r="AG601" i="3"/>
  <c r="Y599" i="3"/>
  <c r="E601" i="3" l="1"/>
  <c r="H601" i="3" s="1"/>
  <c r="K601" i="3" s="1"/>
  <c r="AE601" i="3" s="1"/>
  <c r="G601" i="3"/>
  <c r="F601" i="3" l="1"/>
  <c r="I601" i="3"/>
  <c r="J601" i="3"/>
  <c r="M601" i="3"/>
  <c r="N601" i="3" s="1"/>
  <c r="V601" i="3"/>
  <c r="A602" i="3"/>
  <c r="B602" i="3" s="1"/>
  <c r="W601" i="3" l="1"/>
  <c r="L601" i="3"/>
  <c r="P602" i="3"/>
  <c r="Q602" i="3" s="1"/>
  <c r="R602" i="3" s="1"/>
  <c r="S602" i="3" s="1"/>
  <c r="Z602" i="3"/>
  <c r="AC602" i="3"/>
  <c r="AD602" i="3"/>
  <c r="AA602" i="3"/>
  <c r="U601" i="3" l="1"/>
  <c r="Y600" i="3"/>
  <c r="T602" i="3"/>
  <c r="AG602" i="3" s="1"/>
  <c r="D602" i="3" l="1"/>
  <c r="E602" i="3"/>
  <c r="H602" i="3" s="1"/>
  <c r="AH602" i="3"/>
  <c r="K602" i="3" l="1"/>
  <c r="AE602" i="3" s="1"/>
  <c r="F602" i="3"/>
  <c r="G602" i="3"/>
  <c r="I602" i="3" l="1"/>
  <c r="J602" i="3"/>
  <c r="M602" i="3"/>
  <c r="N602" i="3" s="1"/>
  <c r="V602" i="3"/>
  <c r="A603" i="3"/>
  <c r="B603" i="3" s="1"/>
  <c r="W602" i="3" l="1"/>
  <c r="L602" i="3"/>
  <c r="AA603" i="3"/>
  <c r="AC603" i="3"/>
  <c r="AD603" i="3"/>
  <c r="Z603" i="3"/>
  <c r="P603" i="3"/>
  <c r="Q603" i="3" s="1"/>
  <c r="R603" i="3" s="1"/>
  <c r="S603" i="3" s="1"/>
  <c r="U602" i="3" l="1"/>
  <c r="Y601" i="3"/>
  <c r="T603" i="3"/>
  <c r="AG603" i="3" s="1"/>
  <c r="AH603" i="3" l="1"/>
  <c r="D603" i="3"/>
  <c r="G603" i="3" s="1"/>
  <c r="E603" i="3"/>
  <c r="H603" i="3" s="1"/>
  <c r="K603" i="3" s="1"/>
  <c r="AE603" i="3" s="1"/>
  <c r="F603" i="3" l="1"/>
  <c r="I603" i="3"/>
  <c r="J603" i="3"/>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D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M607" i="3"/>
  <c r="N607" i="3" s="1"/>
  <c r="AD608" i="3"/>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AD617" i="3"/>
  <c r="P617" i="3"/>
  <c r="Q617" i="3" s="1"/>
  <c r="R617" i="3" s="1"/>
  <c r="S617" i="3" s="1"/>
  <c r="AA617" i="3"/>
  <c r="U616" i="3" l="1"/>
  <c r="Y615" i="3"/>
  <c r="T617" i="3"/>
  <c r="AG617" i="3" s="1"/>
  <c r="D617" i="3" l="1"/>
  <c r="G617" i="3" s="1"/>
  <c r="E617" i="3"/>
  <c r="H617" i="3" s="1"/>
  <c r="K617" i="3" s="1"/>
  <c r="AE617" i="3" s="1"/>
  <c r="AH617" i="3"/>
  <c r="F617" i="3" l="1"/>
  <c r="I617" i="3"/>
  <c r="J617" i="3"/>
  <c r="M617" i="3"/>
  <c r="N617" i="3" s="1"/>
  <c r="V617" i="3"/>
  <c r="A618" i="3"/>
  <c r="B618" i="3" s="1"/>
  <c r="W617" i="3" l="1"/>
  <c r="L617" i="3"/>
  <c r="P618" i="3"/>
  <c r="Q618" i="3" s="1"/>
  <c r="R618" i="3" s="1"/>
  <c r="S618" i="3" s="1"/>
  <c r="AD618" i="3"/>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AD627" i="3"/>
  <c r="P627" i="3"/>
  <c r="Q627" i="3" s="1"/>
  <c r="R627" i="3" s="1"/>
  <c r="S627" i="3" s="1"/>
  <c r="AC627" i="3"/>
  <c r="AA627" i="3"/>
  <c r="L626" i="3" l="1"/>
  <c r="T627" i="3"/>
  <c r="AG627" i="3" l="1"/>
  <c r="U626" i="3"/>
  <c r="D627" i="3" s="1"/>
  <c r="AH627" i="3"/>
  <c r="Y625" i="3"/>
  <c r="G627" i="3" l="1"/>
  <c r="E627" i="3"/>
  <c r="H627" i="3" s="1"/>
  <c r="K627" i="3" l="1"/>
  <c r="AE627" i="3" s="1"/>
  <c r="I627" i="3"/>
  <c r="J627" i="3"/>
  <c r="M627" i="3"/>
  <c r="N627" i="3" s="1"/>
  <c r="F627" i="3"/>
  <c r="L627" i="3" l="1"/>
  <c r="V627" i="3"/>
  <c r="W627" i="3" s="1"/>
  <c r="A628" i="3"/>
  <c r="B628" i="3" s="1"/>
  <c r="Z628" i="3" l="1"/>
  <c r="AA628" i="3"/>
  <c r="P628" i="3"/>
  <c r="Q628" i="3" s="1"/>
  <c r="R628" i="3" s="1"/>
  <c r="S628" i="3" s="1"/>
  <c r="AC628" i="3"/>
  <c r="AD628" i="3"/>
  <c r="U627" i="3"/>
  <c r="Y626" i="3"/>
  <c r="T628" i="3" l="1"/>
  <c r="D628" i="3" l="1"/>
  <c r="E628" i="3"/>
  <c r="H628" i="3" s="1"/>
  <c r="AG628" i="3"/>
  <c r="AH628" i="3"/>
  <c r="F628" i="3" l="1"/>
  <c r="G628" i="3"/>
  <c r="K628" i="3"/>
  <c r="AE628" i="3" s="1"/>
  <c r="I628" i="3" l="1"/>
  <c r="J628" i="3"/>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D637" i="3"/>
  <c r="AA637" i="3"/>
  <c r="U636" i="3" l="1"/>
  <c r="Y635" i="3"/>
  <c r="T637" i="3"/>
  <c r="AG637" i="3" s="1"/>
  <c r="D637" i="3" l="1"/>
  <c r="AH637" i="3"/>
  <c r="E637" i="3"/>
  <c r="H637" i="3" s="1"/>
  <c r="F637" i="3" l="1"/>
  <c r="G637" i="3"/>
  <c r="K637" i="3"/>
  <c r="AE637" i="3" s="1"/>
  <c r="I637" i="3" l="1"/>
  <c r="J637" i="3"/>
  <c r="M637" i="3"/>
  <c r="N637" i="3" s="1"/>
  <c r="V637" i="3"/>
  <c r="A638" i="3"/>
  <c r="B638" i="3" s="1"/>
  <c r="W637" i="3" l="1"/>
  <c r="L637" i="3"/>
  <c r="P638" i="3"/>
  <c r="Q638" i="3" s="1"/>
  <c r="R638" i="3" s="1"/>
  <c r="S638" i="3" s="1"/>
  <c r="AD638" i="3"/>
  <c r="AC638" i="3"/>
  <c r="AA638" i="3"/>
  <c r="Z638" i="3"/>
  <c r="T638" i="3" l="1"/>
  <c r="AG638" i="3" s="1"/>
  <c r="U637" i="3"/>
  <c r="Y636" i="3"/>
  <c r="D638" i="3" l="1"/>
  <c r="G638" i="3" s="1"/>
  <c r="E638" i="3"/>
  <c r="H638" i="3" s="1"/>
  <c r="AH638" i="3"/>
  <c r="F638" i="3" l="1"/>
  <c r="I638" i="3"/>
  <c r="J638" i="3"/>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AD647" i="3"/>
  <c r="Z647" i="3"/>
  <c r="U646" i="3" l="1"/>
  <c r="Y645" i="3"/>
  <c r="T647" i="3"/>
  <c r="AG647" i="3" s="1"/>
  <c r="E647" i="3" l="1"/>
  <c r="H647" i="3" s="1"/>
  <c r="D647" i="3"/>
  <c r="AH647" i="3"/>
  <c r="F647" i="3" l="1"/>
  <c r="G647" i="3"/>
  <c r="K647" i="3"/>
  <c r="AE647" i="3" s="1"/>
  <c r="V647" i="3" l="1"/>
  <c r="A648" i="3"/>
  <c r="B648" i="3" s="1"/>
  <c r="I647" i="3"/>
  <c r="J647" i="3"/>
  <c r="M647" i="3"/>
  <c r="N647" i="3" s="1"/>
  <c r="W647" i="3" l="1"/>
  <c r="L647" i="3"/>
  <c r="AC648" i="3"/>
  <c r="AA648" i="3"/>
  <c r="P648" i="3"/>
  <c r="Q648" i="3" s="1"/>
  <c r="R648" i="3" s="1"/>
  <c r="S648" i="3" s="1"/>
  <c r="Z648" i="3"/>
  <c r="AD648" i="3"/>
  <c r="T648" i="3" l="1"/>
  <c r="AH648" i="3" s="1"/>
  <c r="U647" i="3"/>
  <c r="Y646" i="3"/>
  <c r="D648" i="3" l="1"/>
  <c r="AG648" i="3"/>
  <c r="E648" i="3"/>
  <c r="H648" i="3" s="1"/>
  <c r="F648" i="3" l="1"/>
  <c r="G648" i="3"/>
  <c r="K648" i="3"/>
  <c r="AE648" i="3" s="1"/>
  <c r="I648" i="3" l="1"/>
  <c r="J648" i="3"/>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AD657" i="3"/>
  <c r="P657" i="3"/>
  <c r="Q657" i="3" s="1"/>
  <c r="R657" i="3" s="1"/>
  <c r="S657" i="3" s="1"/>
  <c r="AA657" i="3"/>
  <c r="Z657" i="3"/>
  <c r="L656" i="3" l="1"/>
  <c r="T657" i="3"/>
  <c r="AH657" i="3" l="1"/>
  <c r="U656" i="3"/>
  <c r="E657" i="3" s="1"/>
  <c r="H657" i="3" s="1"/>
  <c r="AG657" i="3"/>
  <c r="Y655" i="3"/>
  <c r="D657" i="3" l="1"/>
  <c r="G657" i="3" s="1"/>
  <c r="K657" i="3"/>
  <c r="AE657" i="3" s="1"/>
  <c r="F657" i="3" l="1"/>
  <c r="I657" i="3"/>
  <c r="J657" i="3"/>
  <c r="M657" i="3"/>
  <c r="N657" i="3" s="1"/>
  <c r="V657" i="3"/>
  <c r="A658" i="3"/>
  <c r="B658" i="3" s="1"/>
  <c r="W657" i="3" l="1"/>
  <c r="L657" i="3"/>
  <c r="AC658" i="3"/>
  <c r="Z658" i="3"/>
  <c r="AD658" i="3"/>
  <c r="AA658" i="3"/>
  <c r="P658" i="3"/>
  <c r="Q658" i="3" s="1"/>
  <c r="R658" i="3" s="1"/>
  <c r="S658" i="3" s="1"/>
  <c r="U657" i="3" l="1"/>
  <c r="Y656" i="3"/>
  <c r="T658" i="3"/>
  <c r="AG658" i="3" s="1"/>
  <c r="E658" i="3" l="1"/>
  <c r="H658" i="3" s="1"/>
  <c r="D658" i="3"/>
  <c r="AH658" i="3"/>
  <c r="K658" i="3" l="1"/>
  <c r="AE658" i="3" s="1"/>
  <c r="F658" i="3"/>
  <c r="G658" i="3"/>
  <c r="I658" i="3" l="1"/>
  <c r="J658" i="3"/>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D667" i="3"/>
  <c r="AA667" i="3"/>
  <c r="U666" i="3" l="1"/>
  <c r="Y665" i="3"/>
  <c r="T667" i="3"/>
  <c r="AG667" i="3" s="1"/>
  <c r="D667" i="3" l="1"/>
  <c r="E667" i="3"/>
  <c r="H667" i="3" s="1"/>
  <c r="AH667" i="3"/>
  <c r="F667" i="3" l="1"/>
  <c r="G667" i="3"/>
  <c r="K667" i="3"/>
  <c r="AE667" i="3" s="1"/>
  <c r="I667" i="3" l="1"/>
  <c r="J667" i="3"/>
  <c r="M667" i="3"/>
  <c r="N667" i="3" s="1"/>
  <c r="V667" i="3"/>
  <c r="A668" i="3"/>
  <c r="B668" i="3" s="1"/>
  <c r="W667" i="3" l="1"/>
  <c r="L667" i="3"/>
  <c r="Z668" i="3"/>
  <c r="P668" i="3"/>
  <c r="Q668" i="3" s="1"/>
  <c r="R668" i="3" s="1"/>
  <c r="S668" i="3" s="1"/>
  <c r="AD668" i="3"/>
  <c r="AC668" i="3"/>
  <c r="AA668" i="3"/>
  <c r="T668" i="3" l="1"/>
  <c r="AH668" i="3" s="1"/>
  <c r="U667" i="3"/>
  <c r="Y666" i="3"/>
  <c r="D668" i="3" l="1"/>
  <c r="G668" i="3" s="1"/>
  <c r="AG668" i="3"/>
  <c r="E668" i="3"/>
  <c r="H668" i="3" s="1"/>
  <c r="F668" i="3" l="1"/>
  <c r="I668" i="3"/>
  <c r="J668" i="3"/>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D675" i="3"/>
  <c r="AA675" i="3"/>
  <c r="AC675" i="3"/>
  <c r="Z675" i="3"/>
  <c r="U674" i="3" l="1"/>
  <c r="Y673" i="3"/>
  <c r="T675" i="3"/>
  <c r="AH675" i="3" s="1"/>
  <c r="AG675" i="3" l="1"/>
  <c r="D675" i="3"/>
  <c r="E675" i="3"/>
  <c r="H675" i="3" s="1"/>
  <c r="F675" i="3" l="1"/>
  <c r="G675" i="3"/>
  <c r="K675" i="3"/>
  <c r="AE675" i="3" s="1"/>
  <c r="I675" i="3" l="1"/>
  <c r="J675" i="3"/>
  <c r="M675" i="3"/>
  <c r="N675" i="3" s="1"/>
  <c r="V675" i="3"/>
  <c r="A676" i="3"/>
  <c r="B676" i="3" s="1"/>
  <c r="W675" i="3" l="1"/>
  <c r="L675" i="3"/>
  <c r="AD676" i="3"/>
  <c r="AC676" i="3"/>
  <c r="P676" i="3"/>
  <c r="Q676" i="3" s="1"/>
  <c r="R676" i="3" s="1"/>
  <c r="S676" i="3" s="1"/>
  <c r="Z676" i="3"/>
  <c r="AA676" i="3"/>
  <c r="T676" i="3" l="1"/>
  <c r="U675" i="3"/>
  <c r="Y674" i="3"/>
  <c r="E676" i="3" l="1"/>
  <c r="H676" i="3" s="1"/>
  <c r="K676" i="3" s="1"/>
  <c r="AE676" i="3" s="1"/>
  <c r="AH676" i="3"/>
  <c r="D676" i="3"/>
  <c r="G676" i="3" s="1"/>
  <c r="AG676" i="3"/>
  <c r="F676" i="3" l="1"/>
  <c r="I676" i="3"/>
  <c r="J676" i="3"/>
  <c r="M676" i="3"/>
  <c r="N676" i="3" s="1"/>
  <c r="V676" i="3"/>
  <c r="A677" i="3"/>
  <c r="B677" i="3" s="1"/>
  <c r="W676" i="3" l="1"/>
  <c r="L676" i="3"/>
  <c r="AA677" i="3"/>
  <c r="AC677" i="3"/>
  <c r="Z677" i="3"/>
  <c r="AD677" i="3"/>
  <c r="P677" i="3"/>
  <c r="Q677" i="3" s="1"/>
  <c r="R677" i="3" s="1"/>
  <c r="S677" i="3" s="1"/>
  <c r="U676" i="3" l="1"/>
  <c r="Y675" i="3"/>
  <c r="T677" i="3"/>
  <c r="AG677" i="3" s="1"/>
  <c r="D677" i="3" l="1"/>
  <c r="G677" i="3" s="1"/>
  <c r="AH677" i="3"/>
  <c r="E677" i="3"/>
  <c r="H677" i="3" s="1"/>
  <c r="F677" i="3" l="1"/>
  <c r="I677" i="3"/>
  <c r="J677" i="3"/>
  <c r="M677" i="3"/>
  <c r="N677" i="3" s="1"/>
  <c r="K677" i="3"/>
  <c r="AE677" i="3" s="1"/>
  <c r="V677" i="3" l="1"/>
  <c r="W677" i="3" s="1"/>
  <c r="A678" i="3"/>
  <c r="B678" i="3" s="1"/>
  <c r="L677" i="3"/>
  <c r="U677" i="3" l="1"/>
  <c r="Y676" i="3"/>
  <c r="AD678" i="3"/>
  <c r="P678" i="3"/>
  <c r="Q678" i="3" s="1"/>
  <c r="R678" i="3" s="1"/>
  <c r="S678" i="3" s="1"/>
  <c r="Z678" i="3"/>
  <c r="AC678" i="3"/>
  <c r="AA678" i="3"/>
  <c r="T678" i="3" l="1"/>
  <c r="AH678" i="3" s="1"/>
  <c r="E678" i="3" l="1"/>
  <c r="H678" i="3" s="1"/>
  <c r="K678" i="3" s="1"/>
  <c r="AE678" i="3" s="1"/>
  <c r="D678" i="3"/>
  <c r="AG678" i="3"/>
  <c r="F678" i="3" l="1"/>
  <c r="G678" i="3"/>
  <c r="J678" i="3" s="1"/>
  <c r="V678" i="3"/>
  <c r="A679" i="3"/>
  <c r="B679" i="3" s="1"/>
  <c r="M678" i="3" l="1"/>
  <c r="N678" i="3" s="1"/>
  <c r="I678" i="3"/>
  <c r="W678" i="3" s="1"/>
  <c r="L678" i="3"/>
  <c r="P679" i="3"/>
  <c r="Q679" i="3" s="1"/>
  <c r="R679" i="3" s="1"/>
  <c r="S679" i="3" s="1"/>
  <c r="AA679" i="3"/>
  <c r="Z679" i="3"/>
  <c r="AD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AD680" i="3"/>
  <c r="I679" i="3"/>
  <c r="W679" i="3" s="1"/>
  <c r="J679" i="3"/>
  <c r="M679" i="3"/>
  <c r="N679" i="3" s="1"/>
  <c r="L679" i="3" l="1"/>
  <c r="T680" i="3"/>
  <c r="AH680" i="3" l="1"/>
  <c r="U679" i="3"/>
  <c r="E680" i="3" s="1"/>
  <c r="H680" i="3" s="1"/>
  <c r="AG680" i="3"/>
  <c r="Y678" i="3"/>
  <c r="D680" i="3" l="1"/>
  <c r="G680" i="3" s="1"/>
  <c r="K680" i="3"/>
  <c r="AE680" i="3" s="1"/>
  <c r="F680" i="3" l="1"/>
  <c r="I680" i="3"/>
  <c r="J680" i="3"/>
  <c r="M680" i="3"/>
  <c r="N680" i="3" s="1"/>
  <c r="V680" i="3"/>
  <c r="A681" i="3"/>
  <c r="B681" i="3" s="1"/>
  <c r="W680" i="3" l="1"/>
  <c r="L680" i="3"/>
  <c r="AD681"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AD682" i="3" l="1"/>
  <c r="Z682" i="3"/>
  <c r="P682" i="3"/>
  <c r="Q682" i="3" s="1"/>
  <c r="R682" i="3" s="1"/>
  <c r="S682" i="3" s="1"/>
  <c r="AC682" i="3"/>
  <c r="AA682" i="3"/>
  <c r="I681" i="3"/>
  <c r="W681" i="3" s="1"/>
  <c r="J681" i="3"/>
  <c r="M681" i="3"/>
  <c r="N681" i="3" s="1"/>
  <c r="L681" i="3" l="1"/>
  <c r="T682" i="3"/>
  <c r="U681" i="3" l="1"/>
  <c r="E682" i="3" s="1"/>
  <c r="H682" i="3" s="1"/>
  <c r="AG682" i="3"/>
  <c r="AH682" i="3"/>
  <c r="Y680" i="3"/>
  <c r="D682" i="3" l="1"/>
  <c r="G682" i="3" s="1"/>
  <c r="K682" i="3"/>
  <c r="AE682" i="3" s="1"/>
  <c r="F682" i="3" l="1"/>
  <c r="V682" i="3"/>
  <c r="A683" i="3"/>
  <c r="B683" i="3" s="1"/>
  <c r="I682" i="3"/>
  <c r="J682" i="3"/>
  <c r="M682" i="3"/>
  <c r="N682" i="3" s="1"/>
  <c r="W682" i="3" l="1"/>
  <c r="L682" i="3"/>
  <c r="P683" i="3"/>
  <c r="Q683" i="3" s="1"/>
  <c r="R683" i="3" s="1"/>
  <c r="S683" i="3" s="1"/>
  <c r="AC683" i="3"/>
  <c r="AD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D687" i="3"/>
  <c r="AA687" i="3"/>
  <c r="AC687" i="3"/>
  <c r="U686" i="3" l="1"/>
  <c r="Y685" i="3"/>
  <c r="T687" i="3"/>
  <c r="AG687" i="3" s="1"/>
  <c r="AH687" i="3" l="1"/>
  <c r="D687" i="3"/>
  <c r="G687" i="3" s="1"/>
  <c r="E687" i="3"/>
  <c r="H687" i="3" s="1"/>
  <c r="K687" i="3" s="1"/>
  <c r="AE687" i="3" s="1"/>
  <c r="F687" i="3" l="1"/>
  <c r="I687" i="3"/>
  <c r="J687" i="3"/>
  <c r="M687" i="3"/>
  <c r="N687" i="3" s="1"/>
  <c r="V687" i="3"/>
  <c r="A688" i="3"/>
  <c r="B688" i="3" s="1"/>
  <c r="W687" i="3" l="1"/>
  <c r="L687" i="3"/>
  <c r="AC688" i="3"/>
  <c r="AA688" i="3"/>
  <c r="AD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AD695"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M695" i="3"/>
  <c r="N695" i="3" s="1"/>
  <c r="AD696" i="3"/>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M696" i="3"/>
  <c r="N696" i="3" s="1"/>
  <c r="W696" i="3" l="1"/>
  <c r="AD697" i="3"/>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L697" i="3" s="1"/>
  <c r="AD698" i="3"/>
  <c r="AA698" i="3"/>
  <c r="Z698" i="3"/>
  <c r="AC698" i="3"/>
  <c r="P698" i="3"/>
  <c r="Q698" i="3" s="1"/>
  <c r="R698" i="3" s="1"/>
  <c r="S698" i="3" s="1"/>
  <c r="U697" i="3" l="1"/>
  <c r="Y696" i="3"/>
  <c r="T698" i="3"/>
  <c r="AG698" i="3" s="1"/>
  <c r="E698" i="3" l="1"/>
  <c r="H698" i="3" s="1"/>
  <c r="K698" i="3" s="1"/>
  <c r="AE698" i="3" s="1"/>
  <c r="AH698" i="3"/>
  <c r="D698" i="3"/>
  <c r="F698" i="3" l="1"/>
  <c r="G698" i="3"/>
  <c r="J698" i="3" s="1"/>
  <c r="V698" i="3"/>
  <c r="A699" i="3"/>
  <c r="B699" i="3" s="1"/>
  <c r="M698" i="3" l="1"/>
  <c r="N698" i="3" s="1"/>
  <c r="I698" i="3"/>
  <c r="W698" i="3" s="1"/>
  <c r="L698" i="3"/>
  <c r="Z699" i="3"/>
  <c r="P699" i="3"/>
  <c r="Q699" i="3" s="1"/>
  <c r="R699" i="3" s="1"/>
  <c r="S699" i="3" s="1"/>
  <c r="AA699" i="3"/>
  <c r="AD699" i="3"/>
  <c r="AC699" i="3"/>
  <c r="T699" i="3" l="1"/>
  <c r="U698" i="3"/>
  <c r="Y697" i="3"/>
  <c r="D699" i="3" l="1"/>
  <c r="G699" i="3" s="1"/>
  <c r="AG699" i="3"/>
  <c r="AH699" i="3"/>
  <c r="E699" i="3"/>
  <c r="H699" i="3" s="1"/>
  <c r="K699" i="3" l="1"/>
  <c r="AE699" i="3" s="1"/>
  <c r="I699" i="3"/>
  <c r="J699" i="3"/>
  <c r="M699" i="3"/>
  <c r="N699" i="3" s="1"/>
  <c r="F699" i="3"/>
  <c r="L699" i="3" l="1"/>
  <c r="V699" i="3"/>
  <c r="W699" i="3" s="1"/>
  <c r="A700" i="3"/>
  <c r="B700" i="3" s="1"/>
  <c r="U699" i="3" l="1"/>
  <c r="Y698" i="3"/>
  <c r="Z700" i="3"/>
  <c r="P700" i="3"/>
  <c r="Q700" i="3" s="1"/>
  <c r="R700" i="3" s="1"/>
  <c r="S700" i="3" s="1"/>
  <c r="AD700" i="3"/>
  <c r="AC700" i="3"/>
  <c r="AA700" i="3"/>
  <c r="T700" i="3" l="1"/>
  <c r="D700" i="3" s="1"/>
  <c r="AH700" i="3" l="1"/>
  <c r="AG700" i="3"/>
  <c r="E700" i="3"/>
  <c r="H700" i="3" s="1"/>
  <c r="K700" i="3" s="1"/>
  <c r="AE700" i="3" s="1"/>
  <c r="G700" i="3"/>
  <c r="F700" i="3" l="1"/>
  <c r="I700" i="3"/>
  <c r="J700" i="3"/>
  <c r="M700" i="3"/>
  <c r="N700" i="3" s="1"/>
  <c r="V700" i="3"/>
  <c r="A701" i="3"/>
  <c r="B701" i="3" s="1"/>
  <c r="W700" i="3" l="1"/>
  <c r="L700" i="3"/>
  <c r="AC701" i="3"/>
  <c r="AA701" i="3"/>
  <c r="Z701" i="3"/>
  <c r="P701" i="3"/>
  <c r="Q701" i="3" s="1"/>
  <c r="R701" i="3" s="1"/>
  <c r="S701" i="3" s="1"/>
  <c r="AD701" i="3"/>
  <c r="U700" i="3" l="1"/>
  <c r="Y699" i="3"/>
  <c r="T701" i="3"/>
  <c r="AG701" i="3" s="1"/>
  <c r="AH701" i="3" l="1"/>
  <c r="E701" i="3"/>
  <c r="H701" i="3" s="1"/>
  <c r="D701" i="3"/>
  <c r="F701" i="3" l="1"/>
  <c r="G701" i="3"/>
  <c r="K701" i="3"/>
  <c r="AE701" i="3" s="1"/>
  <c r="I701" i="3" l="1"/>
  <c r="J701" i="3"/>
  <c r="M701" i="3"/>
  <c r="N701" i="3" s="1"/>
  <c r="V701" i="3"/>
  <c r="A702" i="3"/>
  <c r="B702" i="3" s="1"/>
  <c r="W701" i="3" l="1"/>
  <c r="L701" i="3"/>
  <c r="AC702" i="3"/>
  <c r="AD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M702" i="3"/>
  <c r="N702" i="3" s="1"/>
  <c r="W702" i="3" l="1"/>
  <c r="L702" i="3"/>
  <c r="AC703" i="3"/>
  <c r="AD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AD707" i="3"/>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M707" i="3"/>
  <c r="N707" i="3" s="1"/>
  <c r="AD708" i="3"/>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AD717" i="3"/>
  <c r="Z717" i="3"/>
  <c r="AA717" i="3"/>
  <c r="U716" i="3" l="1"/>
  <c r="Y715" i="3"/>
  <c r="T717" i="3"/>
  <c r="AG717" i="3" s="1"/>
  <c r="E717" i="3" l="1"/>
  <c r="H717" i="3" s="1"/>
  <c r="K717" i="3" s="1"/>
  <c r="AE717" i="3" s="1"/>
  <c r="AH717" i="3"/>
  <c r="D717" i="3"/>
  <c r="V717" i="3" l="1"/>
  <c r="A718" i="3"/>
  <c r="B718" i="3" s="1"/>
  <c r="F717" i="3"/>
  <c r="G717" i="3"/>
  <c r="I717" i="3" l="1"/>
  <c r="W717" i="3" s="1"/>
  <c r="J717" i="3"/>
  <c r="M717" i="3"/>
  <c r="N717" i="3" s="1"/>
  <c r="P718" i="3"/>
  <c r="Q718" i="3" s="1"/>
  <c r="R718" i="3" s="1"/>
  <c r="S718" i="3" s="1"/>
  <c r="AC718" i="3"/>
  <c r="Z718" i="3"/>
  <c r="AD718" i="3"/>
  <c r="AA718" i="3"/>
  <c r="L717" i="3" l="1"/>
  <c r="T718" i="3"/>
  <c r="U717" i="3" l="1"/>
  <c r="E718" i="3" s="1"/>
  <c r="H718" i="3" s="1"/>
  <c r="AH718" i="3"/>
  <c r="AG718" i="3"/>
  <c r="Y716" i="3"/>
  <c r="K718" i="3" l="1"/>
  <c r="AE718" i="3" s="1"/>
  <c r="D718" i="3"/>
  <c r="V718" i="3" l="1"/>
  <c r="A719" i="3"/>
  <c r="B719" i="3" s="1"/>
  <c r="F718" i="3"/>
  <c r="G718" i="3"/>
  <c r="I718" i="3" l="1"/>
  <c r="W718" i="3" s="1"/>
  <c r="J718" i="3"/>
  <c r="M718" i="3"/>
  <c r="N718" i="3" s="1"/>
  <c r="AD719" i="3"/>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M719" i="3"/>
  <c r="N719" i="3" s="1"/>
  <c r="V719" i="3"/>
  <c r="A720" i="3"/>
  <c r="B720" i="3" s="1"/>
  <c r="W719" i="3" l="1"/>
  <c r="L719" i="3"/>
  <c r="P720" i="3"/>
  <c r="Q720" i="3" s="1"/>
  <c r="R720" i="3" s="1"/>
  <c r="S720" i="3" s="1"/>
  <c r="AA720" i="3"/>
  <c r="AC720" i="3"/>
  <c r="Z720" i="3"/>
  <c r="AD720" i="3"/>
  <c r="U719" i="3" l="1"/>
  <c r="Y718" i="3"/>
  <c r="T720" i="3"/>
  <c r="AG720" i="3" s="1"/>
  <c r="E720" i="3" l="1"/>
  <c r="H720" i="3" s="1"/>
  <c r="K720" i="3" s="1"/>
  <c r="AE720" i="3" s="1"/>
  <c r="D720" i="3"/>
  <c r="AH720" i="3"/>
  <c r="V720" i="3" l="1"/>
  <c r="A721" i="3"/>
  <c r="B721" i="3" s="1"/>
  <c r="F720" i="3"/>
  <c r="G720" i="3"/>
  <c r="I720" i="3" l="1"/>
  <c r="W720" i="3" s="1"/>
  <c r="J720" i="3"/>
  <c r="M720" i="3"/>
  <c r="N720" i="3" s="1"/>
  <c r="AD721" i="3"/>
  <c r="AA721" i="3"/>
  <c r="Z721" i="3"/>
  <c r="AC721" i="3"/>
  <c r="P721" i="3"/>
  <c r="Q721" i="3" s="1"/>
  <c r="R721" i="3" s="1"/>
  <c r="S721" i="3" s="1"/>
  <c r="T721" i="3" l="1"/>
  <c r="L720" i="3"/>
  <c r="AG721" i="3" l="1"/>
  <c r="U720" i="3"/>
  <c r="D721" i="3" s="1"/>
  <c r="AH721" i="3"/>
  <c r="Y719" i="3"/>
  <c r="G721" i="3" l="1"/>
  <c r="E721" i="3"/>
  <c r="H721" i="3" s="1"/>
  <c r="F721" i="3" l="1"/>
  <c r="I721" i="3"/>
  <c r="J721" i="3"/>
  <c r="M721" i="3"/>
  <c r="N721" i="3" s="1"/>
  <c r="K721" i="3"/>
  <c r="AE721" i="3" s="1"/>
  <c r="V721" i="3" l="1"/>
  <c r="W721" i="3" s="1"/>
  <c r="A722" i="3"/>
  <c r="B722" i="3" s="1"/>
  <c r="L721" i="3"/>
  <c r="U721" i="3" l="1"/>
  <c r="Y720" i="3"/>
  <c r="AA722" i="3"/>
  <c r="AC722" i="3"/>
  <c r="P722" i="3"/>
  <c r="Q722" i="3" s="1"/>
  <c r="R722" i="3" s="1"/>
  <c r="S722" i="3" s="1"/>
  <c r="Z722" i="3"/>
  <c r="AD722" i="3"/>
  <c r="T722" i="3" l="1"/>
  <c r="AH722" i="3" s="1"/>
  <c r="E722" i="3" l="1"/>
  <c r="H722" i="3" s="1"/>
  <c r="K722" i="3" s="1"/>
  <c r="AE722" i="3" s="1"/>
  <c r="D722" i="3"/>
  <c r="AG722" i="3"/>
  <c r="V722" i="3" l="1"/>
  <c r="A723" i="3"/>
  <c r="B723" i="3" s="1"/>
  <c r="F722" i="3"/>
  <c r="G722" i="3"/>
  <c r="I722" i="3" l="1"/>
  <c r="W722" i="3" s="1"/>
  <c r="J722" i="3"/>
  <c r="M722" i="3"/>
  <c r="N722" i="3" s="1"/>
  <c r="Z723" i="3"/>
  <c r="AA723" i="3"/>
  <c r="AC723" i="3"/>
  <c r="P723" i="3"/>
  <c r="Q723" i="3" s="1"/>
  <c r="R723" i="3" s="1"/>
  <c r="S723" i="3" s="1"/>
  <c r="AD723" i="3"/>
  <c r="T723" i="3" l="1"/>
  <c r="L722" i="3"/>
  <c r="U722" i="3" l="1"/>
  <c r="E723" i="3" s="1"/>
  <c r="H723" i="3" s="1"/>
  <c r="AG723" i="3"/>
  <c r="AH723" i="3"/>
  <c r="Y721" i="3"/>
  <c r="D723" i="3" l="1"/>
  <c r="G723" i="3" s="1"/>
  <c r="K723" i="3"/>
  <c r="AE723" i="3" s="1"/>
  <c r="F723" i="3" l="1"/>
  <c r="V723" i="3"/>
  <c r="A724" i="3"/>
  <c r="B724" i="3" s="1"/>
  <c r="I723" i="3"/>
  <c r="J723" i="3"/>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AD725" i="3"/>
  <c r="U724" i="3" l="1"/>
  <c r="Y723" i="3"/>
  <c r="T725" i="3"/>
  <c r="AG725" i="3" s="1"/>
  <c r="AH725" i="3" l="1"/>
  <c r="D725" i="3"/>
  <c r="G725" i="3" s="1"/>
  <c r="E725" i="3"/>
  <c r="H725" i="3" s="1"/>
  <c r="F725" i="3" l="1"/>
  <c r="I725" i="3"/>
  <c r="J725" i="3"/>
  <c r="M725" i="3"/>
  <c r="N725" i="3" s="1"/>
  <c r="K725" i="3"/>
  <c r="AE725" i="3" s="1"/>
  <c r="V725" i="3" l="1"/>
  <c r="W725" i="3" s="1"/>
  <c r="A726" i="3"/>
  <c r="B726" i="3" s="1"/>
  <c r="L725" i="3"/>
  <c r="U725" i="3" l="1"/>
  <c r="Y724" i="3"/>
  <c r="Z726" i="3"/>
  <c r="P726" i="3"/>
  <c r="Q726" i="3" s="1"/>
  <c r="R726" i="3" s="1"/>
  <c r="S726" i="3" s="1"/>
  <c r="AA726" i="3"/>
  <c r="AD726" i="3"/>
  <c r="AC726" i="3"/>
  <c r="T726" i="3" l="1"/>
  <c r="AG726" i="3" s="1"/>
  <c r="D726" i="3" l="1"/>
  <c r="G726" i="3" s="1"/>
  <c r="E726" i="3"/>
  <c r="H726" i="3" s="1"/>
  <c r="K726" i="3" s="1"/>
  <c r="AE726" i="3" s="1"/>
  <c r="AH726" i="3"/>
  <c r="F726" i="3" l="1"/>
  <c r="I726" i="3"/>
  <c r="J726" i="3"/>
  <c r="M726" i="3"/>
  <c r="N726" i="3" s="1"/>
  <c r="V726" i="3"/>
  <c r="A727" i="3"/>
  <c r="B727" i="3" s="1"/>
  <c r="W726" i="3" l="1"/>
  <c r="L726" i="3"/>
  <c r="P727" i="3"/>
  <c r="Q727" i="3" s="1"/>
  <c r="R727" i="3" s="1"/>
  <c r="S727" i="3" s="1"/>
  <c r="Z727" i="3"/>
  <c r="AA727" i="3"/>
  <c r="AC727" i="3"/>
  <c r="AD727" i="3"/>
  <c r="U726" i="3" l="1"/>
  <c r="Y725" i="3"/>
  <c r="T727" i="3"/>
  <c r="AH727" i="3" s="1"/>
  <c r="E727" i="3" l="1"/>
  <c r="H727" i="3" s="1"/>
  <c r="K727" i="3" s="1"/>
  <c r="AE727" i="3" s="1"/>
  <c r="D727" i="3"/>
  <c r="AG727" i="3"/>
  <c r="F727" i="3" l="1"/>
  <c r="G727" i="3"/>
  <c r="M727" i="3" s="1"/>
  <c r="N727" i="3" s="1"/>
  <c r="V727" i="3"/>
  <c r="A728" i="3"/>
  <c r="B728" i="3" s="1"/>
  <c r="I727" i="3" l="1"/>
  <c r="W727" i="3" s="1"/>
  <c r="J727" i="3"/>
  <c r="L727" i="3" s="1"/>
  <c r="AA728" i="3"/>
  <c r="P728" i="3"/>
  <c r="Q728" i="3" s="1"/>
  <c r="R728" i="3" s="1"/>
  <c r="S728" i="3" s="1"/>
  <c r="AC728" i="3"/>
  <c r="Z728" i="3"/>
  <c r="AD728" i="3"/>
  <c r="U727" i="3" l="1"/>
  <c r="Y726" i="3"/>
  <c r="T728" i="3"/>
  <c r="D728" i="3" l="1"/>
  <c r="G728" i="3" s="1"/>
  <c r="AG728" i="3"/>
  <c r="E728" i="3"/>
  <c r="H728" i="3" s="1"/>
  <c r="AH728" i="3"/>
  <c r="F728" i="3" l="1"/>
  <c r="I728" i="3"/>
  <c r="J728" i="3"/>
  <c r="M728" i="3"/>
  <c r="N728" i="3" s="1"/>
  <c r="K728" i="3"/>
  <c r="AE728" i="3" s="1"/>
  <c r="V728" i="3" l="1"/>
  <c r="W728" i="3" s="1"/>
  <c r="A729" i="3"/>
  <c r="B729" i="3" s="1"/>
  <c r="L728" i="3"/>
  <c r="U728" i="3" l="1"/>
  <c r="Y727" i="3"/>
  <c r="P729" i="3"/>
  <c r="Q729" i="3" s="1"/>
  <c r="R729" i="3" s="1"/>
  <c r="S729" i="3" s="1"/>
  <c r="AA729" i="3"/>
  <c r="AD729" i="3"/>
  <c r="AC729" i="3"/>
  <c r="Z729" i="3"/>
  <c r="T729" i="3" l="1"/>
  <c r="E729" i="3" s="1"/>
  <c r="H729" i="3" s="1"/>
  <c r="AH729" i="3" l="1"/>
  <c r="D729" i="3"/>
  <c r="F729" i="3" s="1"/>
  <c r="AG729" i="3"/>
  <c r="K729" i="3"/>
  <c r="AE729" i="3" s="1"/>
  <c r="G729" i="3" l="1"/>
  <c r="I729" i="3" s="1"/>
  <c r="V729" i="3"/>
  <c r="A730" i="3"/>
  <c r="B730" i="3" s="1"/>
  <c r="W729" i="3" l="1"/>
  <c r="J729" i="3"/>
  <c r="L729" i="3" s="1"/>
  <c r="M729" i="3"/>
  <c r="N729" i="3" s="1"/>
  <c r="AA730" i="3"/>
  <c r="Z730" i="3"/>
  <c r="AD730" i="3"/>
  <c r="P730" i="3"/>
  <c r="Q730" i="3" s="1"/>
  <c r="R730" i="3" s="1"/>
  <c r="S730" i="3" s="1"/>
  <c r="AC730" i="3"/>
  <c r="U729" i="3" l="1"/>
  <c r="Y728" i="3"/>
  <c r="T730" i="3"/>
  <c r="AG730" i="3" s="1"/>
  <c r="D730" i="3" l="1"/>
  <c r="E730" i="3"/>
  <c r="H730" i="3" s="1"/>
  <c r="AH730" i="3"/>
  <c r="K730" i="3" l="1"/>
  <c r="AE730" i="3" s="1"/>
  <c r="F730" i="3"/>
  <c r="G730" i="3"/>
  <c r="I730" i="3" l="1"/>
  <c r="J730" i="3"/>
  <c r="M730" i="3"/>
  <c r="N730" i="3" s="1"/>
  <c r="V730" i="3"/>
  <c r="A731" i="3"/>
  <c r="B731" i="3" s="1"/>
  <c r="W730" i="3" l="1"/>
  <c r="L730" i="3"/>
  <c r="P731" i="3"/>
  <c r="Q731" i="3" s="1"/>
  <c r="R731" i="3" s="1"/>
  <c r="S731" i="3" s="1"/>
  <c r="Z731" i="3"/>
  <c r="AA731" i="3"/>
  <c r="AD731" i="3"/>
  <c r="AC731" i="3"/>
  <c r="U730" i="3" l="1"/>
  <c r="Y729" i="3"/>
  <c r="T731" i="3"/>
  <c r="AG731" i="3" s="1"/>
  <c r="E731" i="3" l="1"/>
  <c r="H731" i="3" s="1"/>
  <c r="K731" i="3" s="1"/>
  <c r="AE731" i="3" s="1"/>
  <c r="AH731" i="3"/>
  <c r="D731" i="3"/>
  <c r="F731" i="3" l="1"/>
  <c r="G731" i="3"/>
  <c r="J731" i="3" s="1"/>
  <c r="V731" i="3"/>
  <c r="A732" i="3"/>
  <c r="B732" i="3" s="1"/>
  <c r="M731" i="3" l="1"/>
  <c r="N731" i="3" s="1"/>
  <c r="I731" i="3"/>
  <c r="W731" i="3" s="1"/>
  <c r="L731" i="3"/>
  <c r="AC732" i="3"/>
  <c r="Z732" i="3"/>
  <c r="AD732" i="3"/>
  <c r="AA732" i="3"/>
  <c r="P732" i="3"/>
  <c r="Q732" i="3" s="1"/>
  <c r="R732" i="3" s="1"/>
  <c r="S732" i="3" s="1"/>
  <c r="U731" i="3" l="1"/>
  <c r="Y730" i="3"/>
  <c r="T732" i="3"/>
  <c r="E732" i="3" l="1"/>
  <c r="H732" i="3" s="1"/>
  <c r="K732" i="3" s="1"/>
  <c r="AE732" i="3" s="1"/>
  <c r="D732" i="3"/>
  <c r="G732" i="3" s="1"/>
  <c r="AH732" i="3"/>
  <c r="AG732" i="3"/>
  <c r="F732" i="3" l="1"/>
  <c r="I732" i="3"/>
  <c r="J732" i="3"/>
  <c r="M732" i="3"/>
  <c r="N732" i="3" s="1"/>
  <c r="V732" i="3"/>
  <c r="A733" i="3"/>
  <c r="B733" i="3" s="1"/>
  <c r="W732" i="3" l="1"/>
  <c r="L732" i="3"/>
  <c r="AC733" i="3"/>
  <c r="P733" i="3"/>
  <c r="Q733" i="3" s="1"/>
  <c r="R733" i="3" s="1"/>
  <c r="S733" i="3" s="1"/>
  <c r="AA733" i="3"/>
  <c r="Z733" i="3"/>
  <c r="AD733" i="3"/>
  <c r="T733" i="3" l="1"/>
  <c r="AH733" i="3" s="1"/>
  <c r="U732" i="3"/>
  <c r="Y731" i="3"/>
  <c r="D733" i="3" l="1"/>
  <c r="G733" i="3" s="1"/>
  <c r="E733" i="3"/>
  <c r="H733" i="3" s="1"/>
  <c r="AG733" i="3"/>
  <c r="F733" i="3" l="1"/>
  <c r="I733" i="3"/>
  <c r="J733" i="3"/>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AD735" i="3"/>
  <c r="L734" i="3" l="1"/>
  <c r="Y733" i="3" s="1"/>
  <c r="AD734" i="3"/>
  <c r="T735" i="3"/>
  <c r="U734" i="3" l="1"/>
  <c r="E735" i="3" s="1"/>
  <c r="H735" i="3" s="1"/>
  <c r="AH735" i="3"/>
  <c r="AG735" i="3"/>
  <c r="D735" i="3" l="1"/>
  <c r="G735" i="3" s="1"/>
  <c r="M735" i="3" s="1"/>
  <c r="N735" i="3" s="1"/>
  <c r="K735" i="3"/>
  <c r="AE735" i="3" s="1"/>
  <c r="F735" i="3" l="1"/>
  <c r="I735" i="3"/>
  <c r="J735" i="3"/>
  <c r="L735" i="3" s="1"/>
  <c r="V735" i="3"/>
  <c r="A736" i="3"/>
  <c r="B736" i="3" s="1"/>
  <c r="W735" i="3" l="1"/>
  <c r="U735" i="3"/>
  <c r="Y734" i="3"/>
  <c r="Z736" i="3"/>
  <c r="P736" i="3"/>
  <c r="Q736" i="3" s="1"/>
  <c r="R736" i="3" s="1"/>
  <c r="S736" i="3" s="1"/>
  <c r="AA736" i="3"/>
  <c r="AD736" i="3"/>
  <c r="AC736" i="3"/>
  <c r="T736" i="3" l="1"/>
  <c r="E736" i="3" s="1"/>
  <c r="H736" i="3" s="1"/>
  <c r="AH736" i="3" l="1"/>
  <c r="D736" i="3"/>
  <c r="F736" i="3" s="1"/>
  <c r="K736" i="3"/>
  <c r="AE736" i="3" s="1"/>
  <c r="AG736" i="3"/>
  <c r="G736" i="3" l="1"/>
  <c r="M736" i="3" s="1"/>
  <c r="N736" i="3" s="1"/>
  <c r="V736" i="3"/>
  <c r="A737" i="3"/>
  <c r="B737" i="3" s="1"/>
  <c r="I736" i="3" l="1"/>
  <c r="W736" i="3" s="1"/>
  <c r="J736" i="3"/>
  <c r="L736" i="3" s="1"/>
  <c r="AC737" i="3"/>
  <c r="P737" i="3"/>
  <c r="Q737" i="3" s="1"/>
  <c r="R737" i="3" s="1"/>
  <c r="S737" i="3" s="1"/>
  <c r="AD737" i="3"/>
  <c r="Z737" i="3"/>
  <c r="AA737" i="3"/>
  <c r="U736" i="3" l="1"/>
  <c r="Y735" i="3"/>
  <c r="T737" i="3"/>
  <c r="AH737" i="3" s="1"/>
  <c r="D737" i="3" l="1"/>
  <c r="E737" i="3"/>
  <c r="H737" i="3" s="1"/>
  <c r="AG737" i="3"/>
  <c r="F737" i="3" l="1"/>
  <c r="G737" i="3"/>
  <c r="K737" i="3"/>
  <c r="AE737" i="3" s="1"/>
  <c r="V737" i="3" l="1"/>
  <c r="A738" i="3"/>
  <c r="B738" i="3" s="1"/>
  <c r="I737" i="3"/>
  <c r="J737" i="3"/>
  <c r="M737" i="3"/>
  <c r="N737" i="3" s="1"/>
  <c r="W737" i="3" l="1"/>
  <c r="L737" i="3"/>
  <c r="AA738" i="3"/>
  <c r="P738" i="3"/>
  <c r="Q738" i="3" s="1"/>
  <c r="R738" i="3" s="1"/>
  <c r="S738" i="3" s="1"/>
  <c r="AC738" i="3"/>
  <c r="Z738" i="3"/>
  <c r="AD738" i="3"/>
  <c r="U737" i="3" l="1"/>
  <c r="Y736" i="3"/>
  <c r="T738" i="3"/>
  <c r="E738" i="3" l="1"/>
  <c r="H738" i="3" s="1"/>
  <c r="K738" i="3" s="1"/>
  <c r="AE738" i="3" s="1"/>
  <c r="D738" i="3"/>
  <c r="AG738" i="3"/>
  <c r="AH738" i="3"/>
  <c r="V738" i="3" l="1"/>
  <c r="A739" i="3"/>
  <c r="B739" i="3" s="1"/>
  <c r="F738" i="3"/>
  <c r="G738" i="3"/>
  <c r="I738" i="3" l="1"/>
  <c r="W738" i="3" s="1"/>
  <c r="J738" i="3"/>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AD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L745" i="3" s="1"/>
  <c r="Z746" i="3"/>
  <c r="AD746" i="3"/>
  <c r="P746" i="3"/>
  <c r="Q746" i="3" s="1"/>
  <c r="R746" i="3" s="1"/>
  <c r="S746" i="3" s="1"/>
  <c r="AA746" i="3"/>
  <c r="AC746" i="3"/>
  <c r="U745" i="3" l="1"/>
  <c r="Y744" i="3"/>
  <c r="T746" i="3"/>
  <c r="D746" i="3" l="1"/>
  <c r="G746" i="3" s="1"/>
  <c r="AG746" i="3"/>
  <c r="E746" i="3"/>
  <c r="H746" i="3" s="1"/>
  <c r="AH746" i="3"/>
  <c r="F746" i="3" l="1"/>
  <c r="I746" i="3"/>
  <c r="J746" i="3"/>
  <c r="M746" i="3"/>
  <c r="N746" i="3" s="1"/>
  <c r="K746" i="3"/>
  <c r="AE746" i="3" s="1"/>
  <c r="V746" i="3" l="1"/>
  <c r="W746" i="3" s="1"/>
  <c r="A747" i="3"/>
  <c r="B747" i="3" s="1"/>
  <c r="L746" i="3"/>
  <c r="U746" i="3" l="1"/>
  <c r="Y745" i="3"/>
  <c r="AA747" i="3"/>
  <c r="AD747" i="3"/>
  <c r="Z747" i="3"/>
  <c r="AC747" i="3"/>
  <c r="P747" i="3"/>
  <c r="Q747" i="3" s="1"/>
  <c r="R747" i="3" s="1"/>
  <c r="S747" i="3" s="1"/>
  <c r="T747" i="3" l="1"/>
  <c r="D747" i="3" s="1"/>
  <c r="AG747" i="3" l="1"/>
  <c r="E747" i="3"/>
  <c r="H747" i="3" s="1"/>
  <c r="K747" i="3" s="1"/>
  <c r="AE747" i="3" s="1"/>
  <c r="AH747" i="3"/>
  <c r="G747" i="3"/>
  <c r="F747" i="3" l="1"/>
  <c r="I747" i="3"/>
  <c r="J747" i="3"/>
  <c r="M747" i="3"/>
  <c r="N747" i="3" s="1"/>
  <c r="V747" i="3"/>
  <c r="A748" i="3"/>
  <c r="B748" i="3" s="1"/>
  <c r="W747" i="3" l="1"/>
  <c r="L747" i="3"/>
  <c r="AC748" i="3"/>
  <c r="P748" i="3"/>
  <c r="Q748" i="3" s="1"/>
  <c r="R748" i="3" s="1"/>
  <c r="S748" i="3" s="1"/>
  <c r="AD748" i="3"/>
  <c r="Z748" i="3"/>
  <c r="AA748" i="3"/>
  <c r="U747" i="3" l="1"/>
  <c r="Y746" i="3"/>
  <c r="T748" i="3"/>
  <c r="E748" i="3" l="1"/>
  <c r="H748" i="3" s="1"/>
  <c r="K748" i="3" s="1"/>
  <c r="AE748" i="3" s="1"/>
  <c r="D748" i="3"/>
  <c r="AH748" i="3"/>
  <c r="AG748" i="3"/>
  <c r="V748" i="3" l="1"/>
  <c r="A749" i="3"/>
  <c r="B749" i="3" s="1"/>
  <c r="F748" i="3"/>
  <c r="G748" i="3"/>
  <c r="I748" i="3" l="1"/>
  <c r="W748" i="3" s="1"/>
  <c r="J748" i="3"/>
  <c r="M748" i="3"/>
  <c r="N748" i="3" s="1"/>
  <c r="AA749" i="3"/>
  <c r="Z749" i="3"/>
  <c r="P749" i="3"/>
  <c r="Q749" i="3" s="1"/>
  <c r="R749" i="3" s="1"/>
  <c r="S749" i="3" s="1"/>
  <c r="AC749" i="3"/>
  <c r="AD749" i="3"/>
  <c r="T749" i="3" l="1"/>
  <c r="L748" i="3"/>
  <c r="U748" i="3" l="1"/>
  <c r="E749" i="3" s="1"/>
  <c r="H749" i="3" s="1"/>
  <c r="AG749" i="3"/>
  <c r="AH749" i="3"/>
  <c r="Y747" i="3"/>
  <c r="K749" i="3" l="1"/>
  <c r="AE749" i="3" s="1"/>
  <c r="D749" i="3"/>
  <c r="V749" i="3" l="1"/>
  <c r="A750" i="3"/>
  <c r="B750" i="3" s="1"/>
  <c r="F749" i="3"/>
  <c r="G749" i="3"/>
  <c r="I749" i="3" l="1"/>
  <c r="W749" i="3" s="1"/>
  <c r="J749" i="3"/>
  <c r="M749" i="3"/>
  <c r="N749" i="3" s="1"/>
  <c r="AA750" i="3"/>
  <c r="AC750" i="3"/>
  <c r="Z750" i="3"/>
  <c r="AD750" i="3"/>
  <c r="P750" i="3"/>
  <c r="Q750" i="3" s="1"/>
  <c r="R750" i="3" s="1"/>
  <c r="S750" i="3" s="1"/>
  <c r="T750" i="3" l="1"/>
  <c r="L749" i="3"/>
  <c r="AH750" i="3" l="1"/>
  <c r="AG750" i="3"/>
  <c r="U749" i="3"/>
  <c r="D750" i="3" s="1"/>
  <c r="Y748" i="3"/>
  <c r="G750" i="3" l="1"/>
  <c r="E750" i="3"/>
  <c r="H750" i="3" s="1"/>
  <c r="F750" i="3" l="1"/>
  <c r="I750" i="3"/>
  <c r="J750" i="3"/>
  <c r="M750" i="3"/>
  <c r="N750" i="3" s="1"/>
  <c r="K750" i="3"/>
  <c r="AE750" i="3" s="1"/>
  <c r="V750" i="3" l="1"/>
  <c r="W750" i="3" s="1"/>
  <c r="A751" i="3"/>
  <c r="B751" i="3" s="1"/>
  <c r="L750" i="3"/>
  <c r="U750" i="3" l="1"/>
  <c r="Y749" i="3"/>
  <c r="P751" i="3"/>
  <c r="Q751" i="3" s="1"/>
  <c r="R751" i="3" s="1"/>
  <c r="S751" i="3" s="1"/>
  <c r="Z751" i="3"/>
  <c r="AA751" i="3"/>
  <c r="AC751" i="3"/>
  <c r="AD751" i="3"/>
  <c r="T751" i="3" l="1"/>
  <c r="AH751" i="3" s="1"/>
  <c r="E751" i="3" l="1"/>
  <c r="H751" i="3" s="1"/>
  <c r="K751" i="3" s="1"/>
  <c r="AE751" i="3" s="1"/>
  <c r="AG751" i="3"/>
  <c r="D751" i="3"/>
  <c r="F751" i="3" l="1"/>
  <c r="G751" i="3"/>
  <c r="V751" i="3"/>
  <c r="A752" i="3"/>
  <c r="B752" i="3" s="1"/>
  <c r="AA752" i="3" l="1"/>
  <c r="AD752" i="3"/>
  <c r="Z752" i="3"/>
  <c r="AC752" i="3"/>
  <c r="P752" i="3"/>
  <c r="Q752" i="3" s="1"/>
  <c r="R752" i="3" s="1"/>
  <c r="S752" i="3" s="1"/>
  <c r="I751" i="3"/>
  <c r="W751" i="3" s="1"/>
  <c r="J751" i="3"/>
  <c r="M751" i="3"/>
  <c r="N751" i="3" s="1"/>
  <c r="L751" i="3" l="1"/>
  <c r="T752" i="3"/>
  <c r="U751" i="3" l="1"/>
  <c r="E752" i="3" s="1"/>
  <c r="H752" i="3" s="1"/>
  <c r="AG752" i="3"/>
  <c r="AH752" i="3"/>
  <c r="Y750" i="3"/>
  <c r="K752" i="3" l="1"/>
  <c r="AE752" i="3" s="1"/>
  <c r="D752" i="3"/>
  <c r="V752" i="3" l="1"/>
  <c r="A753" i="3"/>
  <c r="B753" i="3" s="1"/>
  <c r="F752" i="3"/>
  <c r="G752" i="3"/>
  <c r="I752" i="3" l="1"/>
  <c r="W752" i="3" s="1"/>
  <c r="J752" i="3"/>
  <c r="M752" i="3"/>
  <c r="N752" i="3" s="1"/>
  <c r="AD753" i="3"/>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D755"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AD756" i="3"/>
  <c r="I755" i="3"/>
  <c r="W755" i="3" s="1"/>
  <c r="J755" i="3"/>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L756" i="3" s="1"/>
  <c r="AD757" i="3"/>
  <c r="AC757" i="3"/>
  <c r="P757" i="3"/>
  <c r="Q757" i="3" s="1"/>
  <c r="R757" i="3" s="1"/>
  <c r="S757" i="3" s="1"/>
  <c r="Z757" i="3"/>
  <c r="AA757" i="3"/>
  <c r="T757" i="3" l="1"/>
  <c r="U756" i="3"/>
  <c r="Y755" i="3"/>
  <c r="E757" i="3" l="1"/>
  <c r="H757" i="3" s="1"/>
  <c r="K757" i="3" s="1"/>
  <c r="AE757" i="3" s="1"/>
  <c r="AH757" i="3"/>
  <c r="D757" i="3"/>
  <c r="AG757" i="3"/>
  <c r="V757" i="3" l="1"/>
  <c r="A758" i="3"/>
  <c r="B758" i="3" s="1"/>
  <c r="F757" i="3"/>
  <c r="G757" i="3"/>
  <c r="I757" i="3" l="1"/>
  <c r="W757" i="3" s="1"/>
  <c r="J757" i="3"/>
  <c r="M757" i="3"/>
  <c r="N757" i="3" s="1"/>
  <c r="AA758" i="3"/>
  <c r="Z758" i="3"/>
  <c r="AD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M758" i="3"/>
  <c r="N758" i="3" s="1"/>
  <c r="L758" i="3" l="1"/>
  <c r="W758" i="3"/>
  <c r="AD759" i="3"/>
  <c r="P759" i="3"/>
  <c r="Q759" i="3" s="1"/>
  <c r="R759" i="3" s="1"/>
  <c r="S759" i="3" s="1"/>
  <c r="Z759" i="3"/>
  <c r="AA759" i="3"/>
  <c r="AC759" i="3"/>
  <c r="U758" i="3" l="1"/>
  <c r="Y757" i="3"/>
  <c r="T759" i="3"/>
  <c r="D759" i="3" l="1"/>
  <c r="G759" i="3" s="1"/>
  <c r="AG759" i="3"/>
  <c r="E759" i="3"/>
  <c r="H759" i="3" s="1"/>
  <c r="AH759" i="3"/>
  <c r="F759" i="3" l="1"/>
  <c r="I759" i="3"/>
  <c r="J759" i="3"/>
  <c r="M759" i="3"/>
  <c r="N759" i="3" s="1"/>
  <c r="K759" i="3"/>
  <c r="AE759" i="3" s="1"/>
  <c r="V759" i="3" l="1"/>
  <c r="W759" i="3" s="1"/>
  <c r="A760" i="3"/>
  <c r="B760" i="3" s="1"/>
  <c r="L759" i="3"/>
  <c r="U759" i="3" l="1"/>
  <c r="Y758" i="3"/>
  <c r="AA760" i="3"/>
  <c r="AC760" i="3"/>
  <c r="Z760" i="3"/>
  <c r="P760" i="3"/>
  <c r="Q760" i="3" s="1"/>
  <c r="R760" i="3" s="1"/>
  <c r="S760" i="3" s="1"/>
  <c r="AD760" i="3"/>
  <c r="T760" i="3" l="1"/>
  <c r="E760" i="3" s="1"/>
  <c r="H760" i="3" s="1"/>
  <c r="AH760" i="3" l="1"/>
  <c r="AG760" i="3"/>
  <c r="D760" i="3"/>
  <c r="G760" i="3" s="1"/>
  <c r="K760" i="3"/>
  <c r="AE760" i="3" s="1"/>
  <c r="F760" i="3" l="1"/>
  <c r="I760" i="3"/>
  <c r="J760" i="3"/>
  <c r="M760" i="3"/>
  <c r="N760" i="3" s="1"/>
  <c r="V760" i="3"/>
  <c r="A761" i="3"/>
  <c r="B761" i="3" s="1"/>
  <c r="W760" i="3" l="1"/>
  <c r="L760" i="3"/>
  <c r="P761" i="3"/>
  <c r="Q761" i="3" s="1"/>
  <c r="R761" i="3" s="1"/>
  <c r="S761" i="3" s="1"/>
  <c r="Z761" i="3"/>
  <c r="AA761" i="3"/>
  <c r="AD761" i="3"/>
  <c r="AC761" i="3"/>
  <c r="T761" i="3" l="1"/>
  <c r="U760" i="3"/>
  <c r="Y759" i="3"/>
  <c r="D761" i="3" l="1"/>
  <c r="G761" i="3" s="1"/>
  <c r="AG761" i="3"/>
  <c r="AH761" i="3"/>
  <c r="E761" i="3"/>
  <c r="H761" i="3" s="1"/>
  <c r="F761" i="3" l="1"/>
  <c r="I761" i="3"/>
  <c r="J761" i="3"/>
  <c r="M761" i="3"/>
  <c r="N761" i="3" s="1"/>
  <c r="K761" i="3"/>
  <c r="AE761" i="3" s="1"/>
  <c r="V761" i="3" l="1"/>
  <c r="W761" i="3" s="1"/>
  <c r="A762" i="3"/>
  <c r="B762" i="3" s="1"/>
  <c r="L761" i="3"/>
  <c r="U761" i="3" l="1"/>
  <c r="Y760" i="3"/>
  <c r="AA762" i="3"/>
  <c r="Z762" i="3"/>
  <c r="AC762" i="3"/>
  <c r="P762" i="3"/>
  <c r="Q762" i="3" s="1"/>
  <c r="R762" i="3" s="1"/>
  <c r="S762" i="3" s="1"/>
  <c r="AD762" i="3"/>
  <c r="T762" i="3" l="1"/>
  <c r="D762" i="3" s="1"/>
  <c r="E762" i="3" l="1"/>
  <c r="H762" i="3" s="1"/>
  <c r="K762" i="3" s="1"/>
  <c r="AE762" i="3" s="1"/>
  <c r="AH762" i="3"/>
  <c r="AG762" i="3"/>
  <c r="G762" i="3"/>
  <c r="F762" i="3" l="1"/>
  <c r="I762" i="3"/>
  <c r="J762" i="3"/>
  <c r="M762" i="3"/>
  <c r="N762" i="3" s="1"/>
  <c r="V762" i="3"/>
  <c r="A763" i="3"/>
  <c r="B763" i="3" s="1"/>
  <c r="W762" i="3" l="1"/>
  <c r="L762" i="3"/>
  <c r="AC763" i="3"/>
  <c r="Z763" i="3"/>
  <c r="AA763" i="3"/>
  <c r="P763" i="3"/>
  <c r="Q763" i="3" s="1"/>
  <c r="R763" i="3" s="1"/>
  <c r="S763" i="3" s="1"/>
  <c r="AD763" i="3"/>
  <c r="U762" i="3" l="1"/>
  <c r="Y761" i="3"/>
  <c r="T763" i="3"/>
  <c r="D763" i="3" l="1"/>
  <c r="G763" i="3" s="1"/>
  <c r="AG763" i="3"/>
  <c r="AH763" i="3"/>
  <c r="E763" i="3"/>
  <c r="H763" i="3" s="1"/>
  <c r="K763" i="3" s="1"/>
  <c r="AE763" i="3" s="1"/>
  <c r="F763" i="3" l="1"/>
  <c r="I763" i="3"/>
  <c r="J763" i="3"/>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AD765" i="3"/>
  <c r="I764" i="3"/>
  <c r="W764" i="3" s="1"/>
  <c r="J764" i="3"/>
  <c r="AD764" i="3" s="1"/>
  <c r="M764" i="3"/>
  <c r="N764" i="3" s="1"/>
  <c r="T765" i="3" l="1"/>
  <c r="L764" i="3"/>
  <c r="AG765" i="3" l="1"/>
  <c r="AH765" i="3"/>
  <c r="U764" i="3"/>
  <c r="D765" i="3" s="1"/>
  <c r="Y763" i="3"/>
  <c r="E765" i="3" l="1"/>
  <c r="H765" i="3" s="1"/>
  <c r="K765" i="3" s="1"/>
  <c r="AE765" i="3" s="1"/>
  <c r="G765" i="3"/>
  <c r="F765" i="3" l="1"/>
  <c r="I765" i="3"/>
  <c r="J765" i="3"/>
  <c r="M765" i="3"/>
  <c r="N765" i="3" s="1"/>
  <c r="V765" i="3"/>
  <c r="A766" i="3"/>
  <c r="B766" i="3" s="1"/>
  <c r="W765" i="3" l="1"/>
  <c r="L765" i="3"/>
  <c r="AD766"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M766" i="3"/>
  <c r="N766" i="3" s="1"/>
  <c r="P767" i="3"/>
  <c r="Q767" i="3" s="1"/>
  <c r="R767" i="3" s="1"/>
  <c r="S767" i="3" s="1"/>
  <c r="AC767" i="3"/>
  <c r="AD767" i="3"/>
  <c r="AA767" i="3"/>
  <c r="Z767" i="3"/>
  <c r="T767" i="3" l="1"/>
  <c r="L766" i="3"/>
  <c r="AH767" i="3" l="1"/>
  <c r="AG767" i="3"/>
  <c r="U766" i="3"/>
  <c r="D767" i="3" s="1"/>
  <c r="Y765" i="3"/>
  <c r="E767" i="3" l="1"/>
  <c r="H767" i="3" s="1"/>
  <c r="K767" i="3" s="1"/>
  <c r="AE767" i="3" s="1"/>
  <c r="G767" i="3"/>
  <c r="F767" i="3" l="1"/>
  <c r="I767" i="3"/>
  <c r="J767" i="3"/>
  <c r="M767" i="3"/>
  <c r="N767" i="3" s="1"/>
  <c r="V767" i="3"/>
  <c r="A768" i="3"/>
  <c r="B768" i="3" s="1"/>
  <c r="W767" i="3" l="1"/>
  <c r="L767" i="3"/>
  <c r="AC768" i="3"/>
  <c r="AA768" i="3"/>
  <c r="AD768" i="3"/>
  <c r="P768" i="3"/>
  <c r="Q768" i="3" s="1"/>
  <c r="R768" i="3" s="1"/>
  <c r="S768" i="3" s="1"/>
  <c r="Z768" i="3"/>
  <c r="T768" i="3" l="1"/>
  <c r="AG768" i="3" s="1"/>
  <c r="U767" i="3"/>
  <c r="Y766" i="3"/>
  <c r="D768" i="3" l="1"/>
  <c r="G768" i="3" s="1"/>
  <c r="AH768" i="3"/>
  <c r="E768" i="3"/>
  <c r="H768" i="3" s="1"/>
  <c r="K768" i="3" l="1"/>
  <c r="AE768" i="3" s="1"/>
  <c r="I768" i="3"/>
  <c r="J768" i="3"/>
  <c r="M768" i="3"/>
  <c r="N768" i="3" s="1"/>
  <c r="F768" i="3"/>
  <c r="L768" i="3" l="1"/>
  <c r="V768" i="3"/>
  <c r="W768" i="3" s="1"/>
  <c r="A769" i="3"/>
  <c r="B769" i="3" s="1"/>
  <c r="AD769" i="3" l="1"/>
  <c r="AC769" i="3"/>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M769" i="3"/>
  <c r="N769" i="3" s="1"/>
  <c r="W769" i="3" l="1"/>
  <c r="L769" i="3"/>
  <c r="AC770" i="3"/>
  <c r="P770" i="3"/>
  <c r="Q770" i="3" s="1"/>
  <c r="R770" i="3" s="1"/>
  <c r="S770" i="3" s="1"/>
  <c r="AD770" i="3"/>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L770" i="3" s="1"/>
  <c r="AA771" i="3"/>
  <c r="AC771" i="3"/>
  <c r="P771" i="3"/>
  <c r="Q771" i="3" s="1"/>
  <c r="R771" i="3" s="1"/>
  <c r="S771" i="3" s="1"/>
  <c r="Z771" i="3"/>
  <c r="AD771" i="3"/>
  <c r="U770" i="3" l="1"/>
  <c r="Y769" i="3"/>
  <c r="T771" i="3"/>
  <c r="AH771" i="3" s="1"/>
  <c r="E771" i="3" l="1"/>
  <c r="H771" i="3" s="1"/>
  <c r="AG771" i="3"/>
  <c r="D771" i="3"/>
  <c r="K771" i="3" l="1"/>
  <c r="AE771" i="3" s="1"/>
  <c r="F771" i="3"/>
  <c r="G771" i="3"/>
  <c r="V771" i="3" l="1"/>
  <c r="A772" i="3"/>
  <c r="B772" i="3" s="1"/>
  <c r="I771" i="3"/>
  <c r="J771" i="3"/>
  <c r="M771" i="3"/>
  <c r="N771" i="3" s="1"/>
  <c r="L771" i="3" l="1"/>
  <c r="W771" i="3"/>
  <c r="AD772"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M772" i="3"/>
  <c r="N772" i="3" s="1"/>
  <c r="W772" i="3" l="1"/>
  <c r="L772" i="3"/>
  <c r="AA773" i="3"/>
  <c r="P773" i="3"/>
  <c r="Q773" i="3" s="1"/>
  <c r="R773" i="3" s="1"/>
  <c r="S773" i="3" s="1"/>
  <c r="Z773" i="3"/>
  <c r="AD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L773" i="3" s="1"/>
  <c r="AC774" i="3"/>
  <c r="P774" i="3"/>
  <c r="Q774" i="3" s="1"/>
  <c r="R774" i="3" s="1"/>
  <c r="S774" i="3" s="1"/>
  <c r="AA774" i="3"/>
  <c r="Z774" i="3"/>
  <c r="U773" i="3" l="1"/>
  <c r="Y772" i="3"/>
  <c r="T774" i="3"/>
  <c r="AG774" i="3" s="1"/>
  <c r="E774" i="3" l="1"/>
  <c r="H774" i="3" s="1"/>
  <c r="K774" i="3" s="1"/>
  <c r="AE774" i="3" s="1"/>
  <c r="AH774" i="3"/>
  <c r="D774" i="3"/>
  <c r="F774" i="3" l="1"/>
  <c r="G774" i="3"/>
  <c r="M774" i="3" s="1"/>
  <c r="N774" i="3" s="1"/>
  <c r="V774" i="3"/>
  <c r="A775" i="3"/>
  <c r="B775" i="3" s="1"/>
  <c r="I774" i="3" l="1"/>
  <c r="W774" i="3" s="1"/>
  <c r="J774" i="3"/>
  <c r="P775" i="3"/>
  <c r="Q775" i="3" s="1"/>
  <c r="R775" i="3" s="1"/>
  <c r="S775" i="3" s="1"/>
  <c r="Z775" i="3"/>
  <c r="AD775" i="3"/>
  <c r="AA775" i="3"/>
  <c r="AC775" i="3"/>
  <c r="L774" i="3" l="1"/>
  <c r="Y773"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D778" i="3"/>
  <c r="AA778" i="3"/>
  <c r="AC778" i="3"/>
  <c r="U777" i="3" l="1"/>
  <c r="Y776" i="3"/>
  <c r="T778" i="3"/>
  <c r="AH778" i="3" s="1"/>
  <c r="E778" i="3" l="1"/>
  <c r="H778" i="3" s="1"/>
  <c r="K778" i="3" s="1"/>
  <c r="AE778" i="3" s="1"/>
  <c r="AG778" i="3"/>
  <c r="D778" i="3"/>
  <c r="G778" i="3" s="1"/>
  <c r="F778" i="3" l="1"/>
  <c r="I778" i="3"/>
  <c r="J778" i="3"/>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AD785" i="3"/>
  <c r="P785" i="3"/>
  <c r="Q785" i="3" s="1"/>
  <c r="R785" i="3" s="1"/>
  <c r="S785" i="3" s="1"/>
  <c r="AC785" i="3"/>
  <c r="Z785" i="3"/>
  <c r="U784" i="3" l="1"/>
  <c r="Y783" i="3"/>
  <c r="T785" i="3"/>
  <c r="AH785" i="3" s="1"/>
  <c r="E785" i="3" l="1"/>
  <c r="H785" i="3" s="1"/>
  <c r="AG785" i="3"/>
  <c r="D785" i="3"/>
  <c r="K785" i="3" l="1"/>
  <c r="AE785" i="3" s="1"/>
  <c r="F785" i="3"/>
  <c r="G785" i="3"/>
  <c r="I785" i="3" l="1"/>
  <c r="J785" i="3"/>
  <c r="M785" i="3"/>
  <c r="N785" i="3" s="1"/>
  <c r="V785" i="3"/>
  <c r="A786" i="3"/>
  <c r="B786" i="3" s="1"/>
  <c r="W785" i="3" l="1"/>
  <c r="L785" i="3"/>
  <c r="Z786" i="3"/>
  <c r="AD786" i="3"/>
  <c r="AA786" i="3"/>
  <c r="P786" i="3"/>
  <c r="Q786" i="3" s="1"/>
  <c r="R786" i="3" s="1"/>
  <c r="S786" i="3" s="1"/>
  <c r="AC786" i="3"/>
  <c r="U785" i="3" l="1"/>
  <c r="Y784" i="3"/>
  <c r="T786" i="3"/>
  <c r="E786" i="3" l="1"/>
  <c r="H786" i="3" s="1"/>
  <c r="K786" i="3" s="1"/>
  <c r="AE786" i="3" s="1"/>
  <c r="AG786" i="3"/>
  <c r="D786" i="3"/>
  <c r="G786" i="3" s="1"/>
  <c r="AH786" i="3"/>
  <c r="F786" i="3" l="1"/>
  <c r="I786" i="3"/>
  <c r="J786" i="3"/>
  <c r="M786" i="3"/>
  <c r="N786" i="3" s="1"/>
  <c r="V786" i="3"/>
  <c r="A787" i="3"/>
  <c r="B787" i="3" s="1"/>
  <c r="L786" i="3" l="1"/>
  <c r="W786" i="3"/>
  <c r="AC787" i="3"/>
  <c r="P787" i="3"/>
  <c r="Q787" i="3" s="1"/>
  <c r="R787" i="3" s="1"/>
  <c r="S787" i="3" s="1"/>
  <c r="Z787" i="3"/>
  <c r="AD787" i="3"/>
  <c r="AA787" i="3"/>
  <c r="U786" i="3" l="1"/>
  <c r="Y785" i="3"/>
  <c r="T787" i="3"/>
  <c r="D787" i="3" l="1"/>
  <c r="G787" i="3" s="1"/>
  <c r="AH787" i="3"/>
  <c r="E787" i="3"/>
  <c r="H787" i="3" s="1"/>
  <c r="AG787" i="3"/>
  <c r="F787" i="3" l="1"/>
  <c r="I787" i="3"/>
  <c r="J787" i="3"/>
  <c r="M787" i="3"/>
  <c r="N787" i="3" s="1"/>
  <c r="K787" i="3"/>
  <c r="AE787" i="3" s="1"/>
  <c r="V787" i="3" l="1"/>
  <c r="W787" i="3" s="1"/>
  <c r="A788" i="3"/>
  <c r="B788" i="3" s="1"/>
  <c r="L787" i="3"/>
  <c r="U787" i="3" l="1"/>
  <c r="Y786" i="3"/>
  <c r="AC788" i="3"/>
  <c r="Z788" i="3"/>
  <c r="AD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L788" i="3" s="1"/>
  <c r="W788" i="3"/>
  <c r="P789" i="3"/>
  <c r="Q789" i="3" s="1"/>
  <c r="R789" i="3" s="1"/>
  <c r="S789" i="3" s="1"/>
  <c r="AC789" i="3"/>
  <c r="AD789" i="3"/>
  <c r="AA789" i="3"/>
  <c r="Z789" i="3"/>
  <c r="U788" i="3" l="1"/>
  <c r="Y787" i="3"/>
  <c r="T789" i="3"/>
  <c r="D789" i="3" l="1"/>
  <c r="G789" i="3" s="1"/>
  <c r="E789" i="3"/>
  <c r="H789" i="3" s="1"/>
  <c r="AH789" i="3"/>
  <c r="AG789" i="3"/>
  <c r="F789" i="3" l="1"/>
  <c r="I789" i="3"/>
  <c r="J789" i="3"/>
  <c r="M789" i="3"/>
  <c r="N789" i="3" s="1"/>
  <c r="K789" i="3"/>
  <c r="AE789" i="3" s="1"/>
  <c r="L789" i="3" l="1"/>
  <c r="V789" i="3"/>
  <c r="W789" i="3" s="1"/>
  <c r="A790" i="3"/>
  <c r="B790" i="3" s="1"/>
  <c r="AA790" i="3" l="1"/>
  <c r="AC790" i="3"/>
  <c r="Z790" i="3"/>
  <c r="AD790" i="3"/>
  <c r="P790" i="3"/>
  <c r="Q790" i="3" s="1"/>
  <c r="R790" i="3" s="1"/>
  <c r="S790" i="3" s="1"/>
  <c r="U789" i="3"/>
  <c r="Y788" i="3"/>
  <c r="T790" i="3" l="1"/>
  <c r="D790" i="3" s="1"/>
  <c r="AG790" i="3" l="1"/>
  <c r="G790" i="3"/>
  <c r="AH790" i="3"/>
  <c r="E790" i="3"/>
  <c r="H790" i="3" s="1"/>
  <c r="F790" i="3" l="1"/>
  <c r="I790" i="3"/>
  <c r="J790" i="3"/>
  <c r="M790" i="3"/>
  <c r="N790" i="3" s="1"/>
  <c r="K790" i="3"/>
  <c r="AE790" i="3" s="1"/>
  <c r="V790" i="3" l="1"/>
  <c r="W790" i="3" s="1"/>
  <c r="A791" i="3"/>
  <c r="B791" i="3" s="1"/>
  <c r="L790" i="3"/>
  <c r="U790" i="3" l="1"/>
  <c r="Y789" i="3"/>
  <c r="AD791" i="3"/>
  <c r="P791" i="3"/>
  <c r="Q791" i="3" s="1"/>
  <c r="R791" i="3" s="1"/>
  <c r="S791" i="3" s="1"/>
  <c r="AA791" i="3"/>
  <c r="AC791" i="3"/>
  <c r="Z791" i="3"/>
  <c r="T791" i="3" l="1"/>
  <c r="AG791" i="3" s="1"/>
  <c r="E791" i="3" l="1"/>
  <c r="H791" i="3" s="1"/>
  <c r="K791" i="3" s="1"/>
  <c r="AE791" i="3" s="1"/>
  <c r="D791" i="3"/>
  <c r="G791" i="3" s="1"/>
  <c r="AH791" i="3"/>
  <c r="F791" i="3" l="1"/>
  <c r="I791" i="3"/>
  <c r="J791" i="3"/>
  <c r="M791" i="3"/>
  <c r="N791" i="3" s="1"/>
  <c r="V791" i="3"/>
  <c r="A792" i="3"/>
  <c r="B792" i="3" s="1"/>
  <c r="W791" i="3" l="1"/>
  <c r="L791" i="3"/>
  <c r="P792" i="3"/>
  <c r="Q792" i="3" s="1"/>
  <c r="R792" i="3" s="1"/>
  <c r="S792" i="3" s="1"/>
  <c r="AC792" i="3"/>
  <c r="AD792" i="3"/>
  <c r="Z792" i="3"/>
  <c r="AA792" i="3"/>
  <c r="U791" i="3" l="1"/>
  <c r="Y790" i="3"/>
  <c r="T792" i="3"/>
  <c r="AG792" i="3" s="1"/>
  <c r="AH792" i="3" l="1"/>
  <c r="D792" i="3"/>
  <c r="E792" i="3"/>
  <c r="H792" i="3" s="1"/>
  <c r="F792" i="3" l="1"/>
  <c r="G792" i="3"/>
  <c r="K792" i="3"/>
  <c r="AE792" i="3" s="1"/>
  <c r="I792" i="3" l="1"/>
  <c r="J792" i="3"/>
  <c r="M792" i="3"/>
  <c r="N792" i="3" s="1"/>
  <c r="V792" i="3"/>
  <c r="A793" i="3"/>
  <c r="B793" i="3" s="1"/>
  <c r="L792" i="3" l="1"/>
  <c r="W792" i="3"/>
  <c r="AD793"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L793" i="3" s="1"/>
  <c r="Z794" i="3"/>
  <c r="AC794" i="3"/>
  <c r="P794" i="3"/>
  <c r="Q794" i="3" s="1"/>
  <c r="R794" i="3" s="1"/>
  <c r="S794" i="3" s="1"/>
  <c r="AA794" i="3"/>
  <c r="T794" i="3" l="1"/>
  <c r="AH794" i="3" s="1"/>
  <c r="U793" i="3"/>
  <c r="Y792" i="3"/>
  <c r="AG794" i="3" l="1"/>
  <c r="D794" i="3"/>
  <c r="E794" i="3"/>
  <c r="H794" i="3" s="1"/>
  <c r="F794" i="3" l="1"/>
  <c r="G794" i="3"/>
  <c r="K794" i="3"/>
  <c r="AE794" i="3" s="1"/>
  <c r="I794" i="3" l="1"/>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AD798" i="3"/>
  <c r="T798" i="3" l="1"/>
  <c r="U797" i="3"/>
  <c r="Y796" i="3"/>
  <c r="E798" i="3" l="1"/>
  <c r="H798" i="3" s="1"/>
  <c r="K798" i="3" s="1"/>
  <c r="AE798" i="3" s="1"/>
  <c r="D798" i="3"/>
  <c r="G798" i="3" s="1"/>
  <c r="AH798" i="3"/>
  <c r="AG798" i="3"/>
  <c r="F798" i="3" l="1"/>
  <c r="I798" i="3"/>
  <c r="J798" i="3"/>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D808" i="3"/>
  <c r="AC808" i="3"/>
  <c r="U807" i="3" l="1"/>
  <c r="Y806" i="3"/>
  <c r="T808" i="3"/>
  <c r="AH808" i="3" s="1"/>
  <c r="D808" i="3" l="1"/>
  <c r="G808" i="3" s="1"/>
  <c r="E808" i="3"/>
  <c r="H808" i="3" s="1"/>
  <c r="K808" i="3" s="1"/>
  <c r="AE808" i="3" s="1"/>
  <c r="AG808" i="3"/>
  <c r="F808" i="3" l="1"/>
  <c r="I808" i="3"/>
  <c r="J808" i="3"/>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AD818"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AD828" i="3"/>
  <c r="P828" i="3"/>
  <c r="Q828" i="3" s="1"/>
  <c r="R828" i="3" s="1"/>
  <c r="S828" i="3" s="1"/>
  <c r="AC828" i="3"/>
  <c r="AA828" i="3"/>
  <c r="Z828" i="3"/>
  <c r="U827" i="3" l="1"/>
  <c r="Y826" i="3"/>
  <c r="T828" i="3"/>
  <c r="D828" i="3" l="1"/>
  <c r="G828" i="3" s="1"/>
  <c r="AG828" i="3"/>
  <c r="AH828" i="3"/>
  <c r="E828" i="3"/>
  <c r="H828" i="3" s="1"/>
  <c r="F828" i="3" l="1"/>
  <c r="I828" i="3"/>
  <c r="J828" i="3"/>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AD838" i="3"/>
  <c r="U837" i="3" l="1"/>
  <c r="Y836" i="3"/>
  <c r="T838" i="3"/>
  <c r="AH838" i="3" s="1"/>
  <c r="E838" i="3" l="1"/>
  <c r="H838" i="3" s="1"/>
  <c r="D838" i="3"/>
  <c r="AG838" i="3"/>
  <c r="K838" i="3" l="1"/>
  <c r="AE838" i="3" s="1"/>
  <c r="F838" i="3"/>
  <c r="G838" i="3"/>
  <c r="V838" i="3" l="1"/>
  <c r="A839" i="3"/>
  <c r="B839" i="3" s="1"/>
  <c r="I838" i="3"/>
  <c r="J838" i="3"/>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AD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AD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AD868" i="3"/>
  <c r="Z868" i="3"/>
  <c r="AA868" i="3"/>
  <c r="AC868" i="3"/>
  <c r="P868" i="3"/>
  <c r="Q868" i="3" s="1"/>
  <c r="R868" i="3" s="1"/>
  <c r="S868" i="3" s="1"/>
  <c r="T868" i="3" l="1"/>
  <c r="U867" i="3"/>
  <c r="Y866" i="3"/>
  <c r="E868" i="3" l="1"/>
  <c r="H868" i="3" s="1"/>
  <c r="K868" i="3" s="1"/>
  <c r="AE868" i="3" s="1"/>
  <c r="AH868" i="3"/>
  <c r="D868" i="3"/>
  <c r="G868" i="3" s="1"/>
  <c r="AG868" i="3"/>
  <c r="F868" i="3" l="1"/>
  <c r="I868" i="3"/>
  <c r="J868" i="3"/>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D878" i="3"/>
  <c r="AC878" i="3"/>
  <c r="AA878" i="3"/>
  <c r="P878" i="3"/>
  <c r="Q878" i="3" s="1"/>
  <c r="R878" i="3" s="1"/>
  <c r="S878" i="3" s="1"/>
  <c r="T878" i="3" l="1"/>
  <c r="E878" i="3" s="1"/>
  <c r="H878" i="3" s="1"/>
  <c r="D878" i="3" l="1"/>
  <c r="G878" i="3" s="1"/>
  <c r="AG878" i="3"/>
  <c r="AH878" i="3"/>
  <c r="K878" i="3"/>
  <c r="AE878" i="3" s="1"/>
  <c r="F878" i="3" l="1"/>
  <c r="I878" i="3"/>
  <c r="J878" i="3"/>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D888" i="3"/>
  <c r="AA888" i="3"/>
  <c r="Z888" i="3"/>
  <c r="P888" i="3"/>
  <c r="Q888" i="3" s="1"/>
  <c r="R888" i="3" s="1"/>
  <c r="S888" i="3" s="1"/>
  <c r="T888" i="3" l="1"/>
  <c r="U887" i="3"/>
  <c r="Y886" i="3"/>
  <c r="E888" i="3" l="1"/>
  <c r="H888" i="3" s="1"/>
  <c r="K888" i="3" s="1"/>
  <c r="AE888" i="3" s="1"/>
  <c r="D888" i="3"/>
  <c r="G888" i="3" s="1"/>
  <c r="AG888" i="3"/>
  <c r="AH888" i="3"/>
  <c r="F888" i="3" l="1"/>
  <c r="I888" i="3"/>
  <c r="J888" i="3"/>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AD898" i="3"/>
  <c r="P898" i="3"/>
  <c r="Q898" i="3" s="1"/>
  <c r="R898" i="3" s="1"/>
  <c r="S898" i="3" s="1"/>
  <c r="Z898" i="3"/>
  <c r="AC898" i="3"/>
  <c r="U897" i="3"/>
  <c r="Y896" i="3"/>
  <c r="T898" i="3" l="1"/>
  <c r="D898" i="3" s="1"/>
  <c r="G898" i="3" l="1"/>
  <c r="AG898" i="3"/>
  <c r="E898" i="3"/>
  <c r="H898" i="3" s="1"/>
  <c r="AH898" i="3"/>
  <c r="F898" i="3" l="1"/>
  <c r="I898" i="3"/>
  <c r="J898" i="3"/>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D908" i="3"/>
  <c r="AC908" i="3"/>
  <c r="T908" i="3" l="1"/>
  <c r="L907" i="3"/>
  <c r="AG908" i="3" l="1"/>
  <c r="AH908" i="3"/>
  <c r="U907" i="3"/>
  <c r="E908" i="3" s="1"/>
  <c r="H908" i="3" s="1"/>
  <c r="Y906" i="3"/>
  <c r="D908" i="3" l="1"/>
  <c r="G908" i="3" s="1"/>
  <c r="K908" i="3"/>
  <c r="AE908" i="3" s="1"/>
  <c r="F908" i="3" l="1"/>
  <c r="I908" i="3"/>
  <c r="J908" i="3"/>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U914" i="3" l="1"/>
  <c r="Y913" i="3"/>
  <c r="T915" i="3"/>
  <c r="AH915" i="3" s="1"/>
  <c r="E915" i="3" l="1"/>
  <c r="H915" i="3" s="1"/>
  <c r="D915" i="3"/>
  <c r="AG915" i="3"/>
  <c r="K915" i="3" l="1"/>
  <c r="AE915" i="3" s="1"/>
  <c r="F915" i="3"/>
  <c r="G915" i="3"/>
  <c r="I915" i="3" l="1"/>
  <c r="J915" i="3"/>
  <c r="AD915" i="3" s="1"/>
  <c r="M915" i="3"/>
  <c r="N915" i="3" s="1"/>
  <c r="V915" i="3"/>
  <c r="A916" i="3"/>
  <c r="B916" i="3" s="1"/>
  <c r="W915" i="3" l="1"/>
  <c r="L915" i="3"/>
  <c r="AC916" i="3"/>
  <c r="AA916" i="3"/>
  <c r="Z916" i="3"/>
  <c r="P916" i="3"/>
  <c r="Q916" i="3" s="1"/>
  <c r="R916" i="3" s="1"/>
  <c r="S916" i="3" s="1"/>
  <c r="U915" i="3" l="1"/>
  <c r="Y914" i="3"/>
  <c r="T916" i="3"/>
  <c r="D916" i="3" l="1"/>
  <c r="G916" i="3" s="1"/>
  <c r="AG916" i="3"/>
  <c r="AH916" i="3"/>
  <c r="E916" i="3"/>
  <c r="H916" i="3" s="1"/>
  <c r="K916" i="3" l="1"/>
  <c r="AE916" i="3" s="1"/>
  <c r="I916" i="3"/>
  <c r="J916" i="3"/>
  <c r="AD916" i="3" s="1"/>
  <c r="M916" i="3"/>
  <c r="N916" i="3" s="1"/>
  <c r="F916" i="3"/>
  <c r="L916" i="3" l="1"/>
  <c r="V916" i="3"/>
  <c r="W916" i="3" s="1"/>
  <c r="A917" i="3"/>
  <c r="B917" i="3" s="1"/>
  <c r="U916" i="3" l="1"/>
  <c r="Y915" i="3"/>
  <c r="AC917" i="3"/>
  <c r="Z917" i="3"/>
  <c r="P917" i="3"/>
  <c r="Q917" i="3" s="1"/>
  <c r="R917" i="3" s="1"/>
  <c r="S917" i="3" s="1"/>
  <c r="AA917" i="3"/>
  <c r="T917" i="3" l="1"/>
  <c r="AG917" i="3" s="1"/>
  <c r="E917" i="3" l="1"/>
  <c r="H917" i="3" s="1"/>
  <c r="K917" i="3" s="1"/>
  <c r="AE917" i="3" s="1"/>
  <c r="AH917" i="3"/>
  <c r="D917" i="3"/>
  <c r="F917" i="3" l="1"/>
  <c r="G917" i="3"/>
  <c r="J917" i="3" s="1"/>
  <c r="AD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A919" i="3"/>
  <c r="U918" i="3" l="1"/>
  <c r="Y917" i="3"/>
  <c r="T919" i="3"/>
  <c r="AG919" i="3" s="1"/>
  <c r="E919" i="3" l="1"/>
  <c r="H919" i="3" s="1"/>
  <c r="K919" i="3" s="1"/>
  <c r="AE919" i="3" s="1"/>
  <c r="AH919" i="3"/>
  <c r="D919" i="3"/>
  <c r="V919" i="3" l="1"/>
  <c r="A920" i="3"/>
  <c r="B920" i="3" s="1"/>
  <c r="F919" i="3"/>
  <c r="G919" i="3"/>
  <c r="I919" i="3" l="1"/>
  <c r="W919" i="3" s="1"/>
  <c r="J919" i="3"/>
  <c r="AD919" i="3" s="1"/>
  <c r="M919" i="3"/>
  <c r="N919" i="3" s="1"/>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AD920" i="3" s="1"/>
  <c r="M920" i="3"/>
  <c r="N920" i="3" s="1"/>
  <c r="W920" i="3" l="1"/>
  <c r="L920" i="3"/>
  <c r="AA921" i="3"/>
  <c r="Z921" i="3"/>
  <c r="P921" i="3"/>
  <c r="Q921" i="3" s="1"/>
  <c r="R921" i="3" s="1"/>
  <c r="S921" i="3" s="1"/>
  <c r="AC921" i="3"/>
  <c r="U920" i="3" l="1"/>
  <c r="Y919" i="3"/>
  <c r="T921" i="3"/>
  <c r="AG921" i="3" s="1"/>
  <c r="E921" i="3" l="1"/>
  <c r="H921" i="3" s="1"/>
  <c r="K921" i="3" s="1"/>
  <c r="AE921" i="3" s="1"/>
  <c r="AH921" i="3"/>
  <c r="D921" i="3"/>
  <c r="G921" i="3" s="1"/>
  <c r="F921" i="3" l="1"/>
  <c r="I921" i="3"/>
  <c r="J921" i="3"/>
  <c r="AD921" i="3" s="1"/>
  <c r="M921" i="3"/>
  <c r="N921" i="3" s="1"/>
  <c r="V921" i="3"/>
  <c r="A922" i="3"/>
  <c r="B922" i="3" s="1"/>
  <c r="W921" i="3" l="1"/>
  <c r="L921" i="3"/>
  <c r="AC922" i="3"/>
  <c r="AA922" i="3"/>
  <c r="Z922" i="3"/>
  <c r="P922" i="3"/>
  <c r="Q922" i="3" s="1"/>
  <c r="R922" i="3" s="1"/>
  <c r="S922" i="3" s="1"/>
  <c r="U921" i="3" l="1"/>
  <c r="Y920" i="3"/>
  <c r="T922" i="3"/>
  <c r="E922" i="3" l="1"/>
  <c r="H922" i="3" s="1"/>
  <c r="K922" i="3" s="1"/>
  <c r="AE922" i="3" s="1"/>
  <c r="AH922" i="3"/>
  <c r="D922" i="3"/>
  <c r="AG922" i="3"/>
  <c r="F922" i="3" l="1"/>
  <c r="G922" i="3"/>
  <c r="V922" i="3"/>
  <c r="A923" i="3"/>
  <c r="B923" i="3" s="1"/>
  <c r="AC923" i="3" l="1"/>
  <c r="Z923" i="3"/>
  <c r="AA923" i="3"/>
  <c r="P923" i="3"/>
  <c r="Q923" i="3" s="1"/>
  <c r="R923" i="3" s="1"/>
  <c r="S923" i="3" s="1"/>
  <c r="I922" i="3"/>
  <c r="W922" i="3" s="1"/>
  <c r="J922" i="3"/>
  <c r="AD922" i="3" s="1"/>
  <c r="M922" i="3"/>
  <c r="N922" i="3" s="1"/>
  <c r="L922" i="3" l="1"/>
  <c r="T923" i="3"/>
  <c r="AH923" i="3" l="1"/>
  <c r="AG923" i="3"/>
  <c r="U922" i="3"/>
  <c r="D923" i="3" s="1"/>
  <c r="Y921" i="3"/>
  <c r="E923" i="3" l="1"/>
  <c r="H923" i="3" s="1"/>
  <c r="K923" i="3" s="1"/>
  <c r="AE923" i="3" s="1"/>
  <c r="G923" i="3"/>
  <c r="F923" i="3" l="1"/>
  <c r="V923" i="3"/>
  <c r="A924" i="3"/>
  <c r="B924" i="3" s="1"/>
  <c r="I923" i="3"/>
  <c r="J923" i="3"/>
  <c r="AD923" i="3" s="1"/>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D928" i="3"/>
  <c r="AA928" i="3"/>
  <c r="Z928" i="3"/>
  <c r="P928" i="3"/>
  <c r="Q928" i="3" s="1"/>
  <c r="R928" i="3" s="1"/>
  <c r="S928" i="3" s="1"/>
  <c r="T928" i="3" l="1"/>
  <c r="D928" i="3" s="1"/>
  <c r="AH928" i="3" l="1"/>
  <c r="E928" i="3"/>
  <c r="H928" i="3" s="1"/>
  <c r="K928" i="3" s="1"/>
  <c r="AE928" i="3" s="1"/>
  <c r="AG928" i="3"/>
  <c r="G928" i="3"/>
  <c r="F928" i="3" l="1"/>
  <c r="I928" i="3"/>
  <c r="J928" i="3"/>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AD938" i="3"/>
  <c r="T938" i="3" l="1"/>
  <c r="AG938" i="3" s="1"/>
  <c r="U937" i="3"/>
  <c r="Y936" i="3"/>
  <c r="D938" i="3" l="1"/>
  <c r="AH938" i="3"/>
  <c r="E938" i="3"/>
  <c r="H938" i="3" s="1"/>
  <c r="F938" i="3" l="1"/>
  <c r="G938" i="3"/>
  <c r="J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A945" i="3"/>
  <c r="U944" i="3" l="1"/>
  <c r="Y943" i="3"/>
  <c r="T945" i="3"/>
  <c r="D945" i="3" l="1"/>
  <c r="G945" i="3" s="1"/>
  <c r="AH945" i="3"/>
  <c r="E945" i="3"/>
  <c r="H945" i="3" s="1"/>
  <c r="AG945" i="3"/>
  <c r="F945" i="3" l="1"/>
  <c r="I945" i="3"/>
  <c r="J945" i="3"/>
  <c r="AD945" i="3" s="1"/>
  <c r="M945" i="3"/>
  <c r="N945" i="3" s="1"/>
  <c r="K945" i="3"/>
  <c r="AE945" i="3" s="1"/>
  <c r="V945" i="3" l="1"/>
  <c r="W945" i="3" s="1"/>
  <c r="A946" i="3"/>
  <c r="B946" i="3" s="1"/>
  <c r="L945" i="3"/>
  <c r="U945" i="3" l="1"/>
  <c r="Y944" i="3"/>
  <c r="P946" i="3"/>
  <c r="Q946" i="3" s="1"/>
  <c r="R946" i="3" s="1"/>
  <c r="S946" i="3" s="1"/>
  <c r="AC946" i="3"/>
  <c r="AA946" i="3"/>
  <c r="Z946" i="3"/>
  <c r="T946" i="3" l="1"/>
  <c r="E946" i="3" s="1"/>
  <c r="H946" i="3" s="1"/>
  <c r="K946" i="3" l="1"/>
  <c r="AE946" i="3" s="1"/>
  <c r="AG946" i="3"/>
  <c r="D946" i="3"/>
  <c r="AH946" i="3"/>
  <c r="F946" i="3" l="1"/>
  <c r="G946" i="3"/>
  <c r="V946" i="3"/>
  <c r="A947" i="3"/>
  <c r="B947" i="3" s="1"/>
  <c r="Z947" i="3" l="1"/>
  <c r="AC947" i="3"/>
  <c r="P947" i="3"/>
  <c r="Q947" i="3" s="1"/>
  <c r="R947" i="3" s="1"/>
  <c r="S947" i="3" s="1"/>
  <c r="AA947" i="3"/>
  <c r="I946" i="3"/>
  <c r="W946" i="3" s="1"/>
  <c r="J946" i="3"/>
  <c r="AD946" i="3" s="1"/>
  <c r="M946" i="3"/>
  <c r="N946" i="3" s="1"/>
  <c r="L946" i="3" l="1"/>
  <c r="T947" i="3"/>
  <c r="AH947" i="3" l="1"/>
  <c r="AG947" i="3"/>
  <c r="U946" i="3"/>
  <c r="E947" i="3" s="1"/>
  <c r="H947" i="3" s="1"/>
  <c r="Y945" i="3"/>
  <c r="D947" i="3" l="1"/>
  <c r="G947" i="3" s="1"/>
  <c r="K947" i="3"/>
  <c r="AE947" i="3" s="1"/>
  <c r="F947" i="3" l="1"/>
  <c r="V947" i="3"/>
  <c r="A948" i="3"/>
  <c r="B948" i="3" s="1"/>
  <c r="I947" i="3"/>
  <c r="J947" i="3"/>
  <c r="AD947" i="3" s="1"/>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A949" i="3"/>
  <c r="AC949" i="3"/>
  <c r="Z949" i="3"/>
  <c r="P949" i="3"/>
  <c r="Q949" i="3" s="1"/>
  <c r="R949" i="3" s="1"/>
  <c r="S949" i="3" s="1"/>
  <c r="U948" i="3" l="1"/>
  <c r="Y947" i="3"/>
  <c r="T949" i="3"/>
  <c r="AH949" i="3" s="1"/>
  <c r="AG949" i="3" l="1"/>
  <c r="D949" i="3"/>
  <c r="G949" i="3" s="1"/>
  <c r="E949" i="3"/>
  <c r="H949" i="3" s="1"/>
  <c r="K949" i="3" s="1"/>
  <c r="AE949" i="3" s="1"/>
  <c r="F949" i="3" l="1"/>
  <c r="I949" i="3"/>
  <c r="J949" i="3"/>
  <c r="AD949" i="3" s="1"/>
  <c r="M949" i="3"/>
  <c r="N949" i="3" s="1"/>
  <c r="V949" i="3"/>
  <c r="A950" i="3"/>
  <c r="B950" i="3" s="1"/>
  <c r="W949" i="3" l="1"/>
  <c r="L949" i="3"/>
  <c r="Z950" i="3"/>
  <c r="AC950" i="3"/>
  <c r="P950" i="3"/>
  <c r="Q950" i="3" s="1"/>
  <c r="R950" i="3" s="1"/>
  <c r="S950" i="3" s="1"/>
  <c r="AA950" i="3"/>
  <c r="T950" i="3" l="1"/>
  <c r="U949" i="3"/>
  <c r="Y948" i="3"/>
  <c r="D950" i="3" l="1"/>
  <c r="G950" i="3" s="1"/>
  <c r="AG950" i="3"/>
  <c r="E950" i="3"/>
  <c r="H950" i="3" s="1"/>
  <c r="K950" i="3" s="1"/>
  <c r="AE950" i="3" s="1"/>
  <c r="AH950" i="3"/>
  <c r="F950" i="3" l="1"/>
  <c r="I950" i="3"/>
  <c r="J950" i="3"/>
  <c r="AD950" i="3" s="1"/>
  <c r="M950" i="3"/>
  <c r="N950" i="3" s="1"/>
  <c r="V950" i="3"/>
  <c r="A951" i="3"/>
  <c r="B951" i="3" s="1"/>
  <c r="W950" i="3" l="1"/>
  <c r="P951" i="3"/>
  <c r="Q951" i="3" s="1"/>
  <c r="R951" i="3" s="1"/>
  <c r="S951" i="3" s="1"/>
  <c r="AA951" i="3"/>
  <c r="AC951" i="3"/>
  <c r="Z951" i="3"/>
  <c r="L950" i="3"/>
  <c r="T951" i="3" l="1"/>
  <c r="U950" i="3"/>
  <c r="Y949" i="3"/>
  <c r="D951" i="3" l="1"/>
  <c r="G951" i="3" s="1"/>
  <c r="AH951" i="3"/>
  <c r="AG951" i="3"/>
  <c r="E951" i="3"/>
  <c r="H951" i="3" s="1"/>
  <c r="K951" i="3" s="1"/>
  <c r="AE951" i="3" s="1"/>
  <c r="F951" i="3" l="1"/>
  <c r="I951" i="3"/>
  <c r="J951" i="3"/>
  <c r="AD951" i="3" s="1"/>
  <c r="M951" i="3"/>
  <c r="N951" i="3" s="1"/>
  <c r="V951" i="3"/>
  <c r="A952" i="3"/>
  <c r="B952" i="3" s="1"/>
  <c r="AC952" i="3" l="1"/>
  <c r="Z952" i="3"/>
  <c r="P952" i="3"/>
  <c r="Q952" i="3" s="1"/>
  <c r="R952" i="3" s="1"/>
  <c r="S952" i="3" s="1"/>
  <c r="AA952" i="3"/>
  <c r="W951" i="3"/>
  <c r="L951" i="3"/>
  <c r="U951" i="3" l="1"/>
  <c r="Y950" i="3"/>
  <c r="T952" i="3"/>
  <c r="D952" i="3" l="1"/>
  <c r="G952" i="3" s="1"/>
  <c r="E952" i="3"/>
  <c r="H952" i="3" s="1"/>
  <c r="AH952" i="3"/>
  <c r="AG952" i="3"/>
  <c r="F952" i="3" l="1"/>
  <c r="I952" i="3"/>
  <c r="J952" i="3"/>
  <c r="AD952" i="3" s="1"/>
  <c r="M952" i="3"/>
  <c r="N952" i="3" s="1"/>
  <c r="K952" i="3"/>
  <c r="AE952" i="3" s="1"/>
  <c r="V952" i="3" l="1"/>
  <c r="W952" i="3" s="1"/>
  <c r="A953" i="3"/>
  <c r="B953" i="3" s="1"/>
  <c r="L952" i="3"/>
  <c r="U952" i="3" l="1"/>
  <c r="Y951" i="3"/>
  <c r="Z953" i="3"/>
  <c r="AA953" i="3"/>
  <c r="P953" i="3"/>
  <c r="Q953" i="3" s="1"/>
  <c r="R953" i="3" s="1"/>
  <c r="S953" i="3" s="1"/>
  <c r="AC953" i="3"/>
  <c r="T953" i="3" l="1"/>
  <c r="AG953" i="3" s="1"/>
  <c r="E953" i="3" l="1"/>
  <c r="H953" i="3" s="1"/>
  <c r="K953" i="3" s="1"/>
  <c r="AE953" i="3" s="1"/>
  <c r="AH953" i="3"/>
  <c r="D953" i="3"/>
  <c r="G953" i="3" s="1"/>
  <c r="F953" i="3" l="1"/>
  <c r="I953" i="3"/>
  <c r="J953" i="3"/>
  <c r="AD953" i="3" s="1"/>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AD968" i="3"/>
  <c r="L967" i="3" l="1"/>
  <c r="T968" i="3"/>
  <c r="AH968" i="3" l="1"/>
  <c r="AG968" i="3"/>
  <c r="U967" i="3"/>
  <c r="E968" i="3" s="1"/>
  <c r="H968" i="3" s="1"/>
  <c r="Y966" i="3"/>
  <c r="K968" i="3" l="1"/>
  <c r="AE968" i="3" s="1"/>
  <c r="D968" i="3"/>
  <c r="V968" i="3" l="1"/>
  <c r="A969" i="3"/>
  <c r="B969" i="3" s="1"/>
  <c r="F968" i="3"/>
  <c r="G968" i="3"/>
  <c r="I968" i="3" l="1"/>
  <c r="W968" i="3" s="1"/>
  <c r="J968" i="3"/>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AD978" i="3"/>
  <c r="Z978" i="3"/>
  <c r="AA978" i="3"/>
  <c r="P978" i="3"/>
  <c r="Q978" i="3" s="1"/>
  <c r="R978" i="3" s="1"/>
  <c r="S978" i="3" s="1"/>
  <c r="T978" i="3" l="1"/>
  <c r="U977" i="3"/>
  <c r="Y976" i="3"/>
  <c r="D978" i="3" l="1"/>
  <c r="G978" i="3" s="1"/>
  <c r="E978" i="3"/>
  <c r="H978" i="3" s="1"/>
  <c r="K978" i="3" s="1"/>
  <c r="AE978" i="3" s="1"/>
  <c r="AH978" i="3"/>
  <c r="AG978" i="3"/>
  <c r="F978" i="3" l="1"/>
  <c r="I978" i="3"/>
  <c r="J978" i="3"/>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C985" i="3"/>
  <c r="I984" i="3"/>
  <c r="W984" i="3" s="1"/>
  <c r="J984" i="3"/>
  <c r="AD984" i="3" s="1"/>
  <c r="M984" i="3"/>
  <c r="N984" i="3" s="1"/>
  <c r="T985" i="3" l="1"/>
  <c r="L984" i="3"/>
  <c r="AG985" i="3" l="1"/>
  <c r="AH985" i="3"/>
  <c r="U984" i="3"/>
  <c r="D985" i="3" s="1"/>
  <c r="Y983" i="3"/>
  <c r="G985" i="3" l="1"/>
  <c r="E985" i="3"/>
  <c r="H985" i="3" s="1"/>
  <c r="I985" i="3" l="1"/>
  <c r="J985" i="3"/>
  <c r="AD985" i="3" s="1"/>
  <c r="M985" i="3"/>
  <c r="N985" i="3" s="1"/>
  <c r="F985" i="3"/>
  <c r="K985" i="3"/>
  <c r="AE985" i="3" s="1"/>
  <c r="L985" i="3" l="1"/>
  <c r="V985" i="3"/>
  <c r="W985" i="3" s="1"/>
  <c r="A986" i="3"/>
  <c r="B986" i="3" s="1"/>
  <c r="U985" i="3" l="1"/>
  <c r="Y984" i="3"/>
  <c r="AC986" i="3"/>
  <c r="P986" i="3"/>
  <c r="Q986" i="3" s="1"/>
  <c r="R986" i="3" s="1"/>
  <c r="S986" i="3" s="1"/>
  <c r="Z986" i="3"/>
  <c r="AA986" i="3"/>
  <c r="T986" i="3" l="1"/>
  <c r="E986" i="3" s="1"/>
  <c r="H986" i="3" s="1"/>
  <c r="AG986" i="3" l="1"/>
  <c r="K986" i="3"/>
  <c r="AE986" i="3" s="1"/>
  <c r="AH986" i="3"/>
  <c r="D986" i="3"/>
  <c r="F986" i="3" l="1"/>
  <c r="G986" i="3"/>
  <c r="V986" i="3"/>
  <c r="A987" i="3"/>
  <c r="B987" i="3" s="1"/>
  <c r="Z987" i="3" l="1"/>
  <c r="AC987" i="3"/>
  <c r="P987" i="3"/>
  <c r="Q987" i="3" s="1"/>
  <c r="R987" i="3" s="1"/>
  <c r="S987" i="3" s="1"/>
  <c r="AA987" i="3"/>
  <c r="I986" i="3"/>
  <c r="W986" i="3" s="1"/>
  <c r="J986" i="3"/>
  <c r="AD986" i="3" s="1"/>
  <c r="M986" i="3"/>
  <c r="N986" i="3" s="1"/>
  <c r="L986" i="3" l="1"/>
  <c r="T987" i="3"/>
  <c r="U986" i="3" l="1"/>
  <c r="E987" i="3" s="1"/>
  <c r="H987" i="3" s="1"/>
  <c r="AH987" i="3"/>
  <c r="AG987" i="3"/>
  <c r="Y985" i="3"/>
  <c r="K987" i="3" l="1"/>
  <c r="AE987" i="3" s="1"/>
  <c r="D987" i="3"/>
  <c r="V987" i="3" l="1"/>
  <c r="A988" i="3"/>
  <c r="B988" i="3" s="1"/>
  <c r="F987" i="3"/>
  <c r="G987" i="3"/>
  <c r="I987" i="3" l="1"/>
  <c r="W987" i="3" s="1"/>
  <c r="J987" i="3"/>
  <c r="AD987" i="3" s="1"/>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P989" i="3"/>
  <c r="Q989" i="3" s="1"/>
  <c r="R989" i="3" s="1"/>
  <c r="S989" i="3" s="1"/>
  <c r="Z989" i="3"/>
  <c r="AA989" i="3"/>
  <c r="T989" i="3" l="1"/>
  <c r="U988" i="3"/>
  <c r="Y987" i="3"/>
  <c r="D989" i="3" l="1"/>
  <c r="G989" i="3" s="1"/>
  <c r="AG989" i="3"/>
  <c r="E989" i="3"/>
  <c r="H989" i="3" s="1"/>
  <c r="AH989" i="3"/>
  <c r="F989" i="3" l="1"/>
  <c r="I989" i="3"/>
  <c r="J989" i="3"/>
  <c r="AD989" i="3" s="1"/>
  <c r="M989" i="3"/>
  <c r="N989" i="3" s="1"/>
  <c r="K989" i="3"/>
  <c r="AE989" i="3" s="1"/>
  <c r="L989" i="3" l="1"/>
  <c r="V989" i="3"/>
  <c r="W989" i="3" s="1"/>
  <c r="A990" i="3"/>
  <c r="B990" i="3" s="1"/>
  <c r="U989" i="3" l="1"/>
  <c r="Y988" i="3"/>
  <c r="AC990" i="3"/>
  <c r="AA990" i="3"/>
  <c r="Z990" i="3"/>
  <c r="P990" i="3"/>
  <c r="Q990" i="3" s="1"/>
  <c r="R990" i="3" s="1"/>
  <c r="S990" i="3" s="1"/>
  <c r="T990" i="3" l="1"/>
  <c r="E990" i="3" s="1"/>
  <c r="H990" i="3" s="1"/>
  <c r="AH990" i="3" l="1"/>
  <c r="D990" i="3"/>
  <c r="G990" i="3" s="1"/>
  <c r="AG990" i="3"/>
  <c r="K990" i="3"/>
  <c r="AE990" i="3" s="1"/>
  <c r="F990" i="3" l="1"/>
  <c r="V990" i="3"/>
  <c r="A991" i="3"/>
  <c r="B991" i="3" s="1"/>
  <c r="I990" i="3"/>
  <c r="J990" i="3"/>
  <c r="AD990" i="3" s="1"/>
  <c r="M990" i="3"/>
  <c r="N990" i="3" s="1"/>
  <c r="L990" i="3" l="1"/>
  <c r="W990" i="3"/>
  <c r="AA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AD991" i="3" s="1"/>
  <c r="M991" i="3"/>
  <c r="N991" i="3" s="1"/>
  <c r="W991" i="3" l="1"/>
  <c r="L991" i="3"/>
  <c r="AC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Z993" i="3"/>
  <c r="AA993" i="3"/>
  <c r="P993" i="3"/>
  <c r="Q993" i="3" s="1"/>
  <c r="R993" i="3" s="1"/>
  <c r="S993" i="3" s="1"/>
  <c r="AC993" i="3"/>
  <c r="L992" i="3" l="1"/>
  <c r="U992" i="3" s="1"/>
  <c r="AD992" i="3"/>
  <c r="T993" i="3"/>
  <c r="Y991" i="3" l="1"/>
  <c r="AH993" i="3"/>
  <c r="D993" i="3"/>
  <c r="G993" i="3" s="1"/>
  <c r="E993" i="3"/>
  <c r="H993" i="3" s="1"/>
  <c r="K993" i="3" s="1"/>
  <c r="AE993" i="3" s="1"/>
  <c r="AG993" i="3"/>
  <c r="F993" i="3" l="1"/>
  <c r="V993" i="3"/>
  <c r="A994" i="3"/>
  <c r="B994" i="3" s="1"/>
  <c r="I993" i="3"/>
  <c r="J993" i="3"/>
  <c r="AD993" i="3" s="1"/>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D998" i="3"/>
  <c r="AC998" i="3"/>
  <c r="AA998" i="3"/>
  <c r="T998" i="3" l="1"/>
  <c r="AG998" i="3" s="1"/>
  <c r="U997" i="3"/>
  <c r="Y996" i="3"/>
  <c r="E998" i="3" l="1"/>
  <c r="H998" i="3" s="1"/>
  <c r="K998" i="3" s="1"/>
  <c r="AE998" i="3" s="1"/>
  <c r="AH998" i="3"/>
  <c r="D998" i="3"/>
  <c r="V998" i="3" l="1"/>
  <c r="A999" i="3"/>
  <c r="B999" i="3" s="1"/>
  <c r="F998" i="3"/>
  <c r="G998" i="3"/>
  <c r="I998" i="3" l="1"/>
  <c r="W998" i="3" s="1"/>
  <c r="J998" i="3"/>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W1003" i="3" s="1"/>
  <c r="A1004" i="3"/>
  <c r="B1004" i="3" s="1"/>
  <c r="L1003" i="3" l="1"/>
  <c r="P1004" i="3"/>
  <c r="Q1004" i="3" s="1"/>
  <c r="R1004" i="3" s="1"/>
  <c r="S1004" i="3" s="1"/>
  <c r="T1004" i="3" s="1"/>
  <c r="AA1004" i="3"/>
  <c r="Z1004" i="3"/>
  <c r="AC1004" i="3"/>
  <c r="AG1004" i="3" l="1"/>
  <c r="AH1004" i="3"/>
  <c r="U1003" i="3"/>
  <c r="D1004" i="3" s="1"/>
  <c r="Y1002" i="3"/>
  <c r="J48" i="1"/>
  <c r="L48" i="1"/>
  <c r="I48" i="1"/>
  <c r="J25" i="1"/>
  <c r="K48" i="1"/>
  <c r="M48" i="1"/>
  <c r="K25" i="1"/>
  <c r="I25" i="1"/>
  <c r="K27" i="1"/>
  <c r="I46" i="1"/>
  <c r="L46" i="1"/>
  <c r="M46" i="1"/>
  <c r="K46" i="1"/>
  <c r="J46" i="1"/>
  <c r="I27" i="1"/>
  <c r="J27" i="1"/>
  <c r="E1004" i="3" l="1"/>
  <c r="H1004" i="3" s="1"/>
  <c r="K1004" i="3" s="1"/>
  <c r="AE1004" i="3" s="1"/>
  <c r="C122" i="1"/>
  <c r="C155" i="1"/>
  <c r="C31" i="1"/>
  <c r="C126" i="1"/>
  <c r="C121" i="1"/>
  <c r="C124" i="1"/>
  <c r="C33" i="1"/>
  <c r="J47" i="1" s="1"/>
  <c r="C129" i="1"/>
  <c r="C130" i="1" s="1"/>
  <c r="M25" i="1"/>
  <c r="I72" i="7"/>
  <c r="I73" i="7" s="1"/>
  <c r="I70" i="7"/>
  <c r="G1004" i="3"/>
  <c r="B128" i="1"/>
  <c r="B123" i="1"/>
  <c r="B127" i="1"/>
  <c r="D155" i="1"/>
  <c r="B124" i="1"/>
  <c r="B126" i="1"/>
  <c r="B129" i="1"/>
  <c r="B125" i="1"/>
  <c r="D31" i="1"/>
  <c r="D33" i="1"/>
  <c r="J49" i="1" s="1"/>
  <c r="C146" i="1"/>
  <c r="C147" i="1" s="1"/>
  <c r="C138" i="1"/>
  <c r="C141" i="1"/>
  <c r="C143" i="1"/>
  <c r="C139" i="1"/>
  <c r="B140" i="1"/>
  <c r="B143" i="1"/>
  <c r="B142" i="1"/>
  <c r="B146" i="1"/>
  <c r="B144" i="1"/>
  <c r="B141" i="1"/>
  <c r="B145" i="1"/>
  <c r="M27" i="1"/>
  <c r="H72" i="7"/>
  <c r="H73" i="7" s="1"/>
  <c r="H70" i="7"/>
  <c r="F1004" i="3" l="1"/>
  <c r="L24" i="1" s="1"/>
  <c r="H49" i="1"/>
  <c r="D32" i="1"/>
  <c r="L42" i="1"/>
  <c r="I1004" i="3"/>
  <c r="J1004" i="3"/>
  <c r="M1004" i="3"/>
  <c r="N1004" i="3" s="1"/>
  <c r="E31" i="7"/>
  <c r="H47" i="1"/>
  <c r="C32" i="1"/>
  <c r="V1004" i="3"/>
  <c r="L1004" i="3" l="1"/>
  <c r="Y1004" i="3" s="1"/>
  <c r="AD1004" i="3"/>
  <c r="W1004" i="3"/>
  <c r="B135" i="1"/>
  <c r="B137" i="1"/>
  <c r="B133" i="1"/>
  <c r="B132" i="1" s="1"/>
  <c r="F133" i="1"/>
  <c r="F134" i="1"/>
  <c r="C133" i="1"/>
  <c r="C135" i="1"/>
  <c r="K24" i="1"/>
  <c r="K42" i="1"/>
  <c r="B150" i="1"/>
  <c r="B149" i="1" s="1"/>
  <c r="B154" i="1"/>
  <c r="B152" i="1"/>
  <c r="M41" i="1"/>
  <c r="H117" i="7"/>
  <c r="E62" i="7"/>
  <c r="F62" i="7" s="1"/>
  <c r="E120" i="7"/>
  <c r="F120" i="7" s="1"/>
  <c r="E119" i="7"/>
  <c r="F119" i="7" s="1"/>
  <c r="E133" i="7"/>
  <c r="E63" i="7"/>
  <c r="F63" i="7" s="1"/>
  <c r="H59" i="7"/>
  <c r="L31" i="7"/>
  <c r="E65" i="7"/>
  <c r="F65" i="7" s="1"/>
  <c r="Y1003" i="3" l="1"/>
  <c r="U1004" i="3"/>
  <c r="J43" i="1"/>
  <c r="I41" i="1"/>
  <c r="K41" i="1"/>
  <c r="H26" i="1"/>
  <c r="J31" i="7" s="1"/>
  <c r="L43" i="1"/>
  <c r="M43" i="1"/>
  <c r="K43" i="1"/>
  <c r="H43" i="1"/>
  <c r="I44" i="1"/>
  <c r="H44" i="1"/>
  <c r="J26" i="1"/>
  <c r="D161" i="1" s="1"/>
  <c r="M44" i="1"/>
  <c r="K26" i="1"/>
  <c r="K31" i="7" s="1"/>
  <c r="K23" i="1"/>
  <c r="S26" i="6" s="1"/>
  <c r="L41" i="1"/>
  <c r="L44" i="1"/>
  <c r="I26" i="1"/>
  <c r="B163" i="1" s="1"/>
  <c r="J41" i="1"/>
  <c r="I43" i="1"/>
  <c r="J44" i="1"/>
  <c r="H28" i="1"/>
  <c r="F151" i="1" s="1"/>
  <c r="M31" i="7"/>
  <c r="E121" i="7"/>
  <c r="F121" i="7" s="1"/>
  <c r="H116" i="7"/>
  <c r="H58" i="7"/>
  <c r="E64" i="7"/>
  <c r="F64" i="7" s="1"/>
  <c r="H55" i="7" l="1"/>
  <c r="H112" i="7"/>
  <c r="H53" i="7"/>
  <c r="P31" i="1"/>
  <c r="P32" i="1"/>
  <c r="I67" i="7"/>
  <c r="H41" i="1"/>
  <c r="K44" i="1"/>
  <c r="H45" i="1"/>
  <c r="M45" i="1"/>
  <c r="L45" i="1"/>
  <c r="K45" i="1"/>
  <c r="K28" i="1" s="1"/>
  <c r="M28" i="1" s="1"/>
  <c r="J45" i="1"/>
  <c r="J28" i="1"/>
  <c r="P30" i="1"/>
  <c r="F193" i="1"/>
  <c r="F190" i="1"/>
  <c r="F171" i="1"/>
  <c r="D186" i="1"/>
  <c r="F161" i="1"/>
  <c r="F163" i="1"/>
  <c r="D166" i="1"/>
  <c r="D192" i="1"/>
  <c r="D194" i="1"/>
  <c r="D196" i="1"/>
  <c r="D173" i="1"/>
  <c r="D168" i="1"/>
  <c r="D197" i="1"/>
  <c r="D159" i="1"/>
  <c r="D185" i="1"/>
  <c r="F194" i="1"/>
  <c r="D165" i="1"/>
  <c r="D191" i="1"/>
  <c r="F183" i="1"/>
  <c r="F162" i="1"/>
  <c r="F170" i="1"/>
  <c r="F184" i="1"/>
  <c r="F168" i="1"/>
  <c r="F169" i="1"/>
  <c r="D164" i="1"/>
  <c r="F21" i="1"/>
  <c r="D177" i="1"/>
  <c r="F197" i="1"/>
  <c r="D160" i="1"/>
  <c r="F196" i="1"/>
  <c r="D162" i="1"/>
  <c r="D170" i="1"/>
  <c r="D181" i="1"/>
  <c r="F164" i="1"/>
  <c r="F165" i="1"/>
  <c r="D190" i="1"/>
  <c r="F182" i="1"/>
  <c r="F166" i="1"/>
  <c r="H44" i="7"/>
  <c r="D171" i="1"/>
  <c r="D169" i="1"/>
  <c r="F172" i="1"/>
  <c r="D179" i="1"/>
  <c r="D189" i="1"/>
  <c r="D183" i="1"/>
  <c r="F160" i="1"/>
  <c r="F195" i="1"/>
  <c r="D193" i="1"/>
  <c r="F179" i="1"/>
  <c r="D188" i="1"/>
  <c r="F185" i="1"/>
  <c r="F159" i="1"/>
  <c r="F173" i="1"/>
  <c r="D163" i="1"/>
  <c r="D184" i="1"/>
  <c r="D195" i="1"/>
  <c r="F191" i="1"/>
  <c r="H11" i="7"/>
  <c r="F181" i="1"/>
  <c r="D180" i="1"/>
  <c r="F186" i="1"/>
  <c r="F180" i="1"/>
  <c r="F187" i="1"/>
  <c r="F178" i="1"/>
  <c r="D178" i="1"/>
  <c r="D182" i="1"/>
  <c r="F192" i="1"/>
  <c r="D174" i="1"/>
  <c r="F189" i="1"/>
  <c r="F167" i="1"/>
  <c r="D187" i="1"/>
  <c r="F188" i="1"/>
  <c r="D172" i="1"/>
  <c r="F174" i="1"/>
  <c r="F177" i="1"/>
  <c r="D167" i="1"/>
  <c r="B171" i="1"/>
  <c r="B181" i="1"/>
  <c r="B170" i="1"/>
  <c r="B186" i="1"/>
  <c r="B164" i="1"/>
  <c r="B175" i="1"/>
  <c r="B166" i="1"/>
  <c r="B174" i="1"/>
  <c r="B172" i="1"/>
  <c r="B184" i="1"/>
  <c r="H113" i="7"/>
  <c r="B180" i="1"/>
  <c r="B199" i="1"/>
  <c r="B188" i="1"/>
  <c r="B165" i="1"/>
  <c r="B185" i="1"/>
  <c r="B168" i="1"/>
  <c r="H114" i="7"/>
  <c r="B198" i="1"/>
  <c r="B197" i="1"/>
  <c r="B179" i="1"/>
  <c r="B191" i="1"/>
  <c r="C156" i="1"/>
  <c r="B192" i="1"/>
  <c r="E128" i="7"/>
  <c r="F128" i="7" s="1"/>
  <c r="B194" i="1"/>
  <c r="B173" i="1"/>
  <c r="B182" i="1"/>
  <c r="B190" i="1"/>
  <c r="B193" i="1"/>
  <c r="B176" i="1"/>
  <c r="B183" i="1"/>
  <c r="B195" i="1"/>
  <c r="F132" i="1"/>
  <c r="C134" i="1" s="1"/>
  <c r="B189" i="1"/>
  <c r="B162" i="1"/>
  <c r="B169" i="1"/>
  <c r="B196" i="1"/>
  <c r="H31" i="7"/>
  <c r="B161" i="1"/>
  <c r="B167" i="1"/>
  <c r="H54" i="7"/>
  <c r="B187" i="1"/>
  <c r="B158" i="1"/>
  <c r="H57" i="7"/>
  <c r="F150" i="1"/>
  <c r="B151" i="1" s="1"/>
  <c r="H115" i="7" l="1"/>
  <c r="S25" i="6"/>
  <c r="D31" i="7"/>
  <c r="D156" i="1"/>
  <c r="H19" i="7"/>
  <c r="C118" i="1"/>
  <c r="P29" i="1"/>
  <c r="B120" i="1"/>
  <c r="H56" i="7"/>
  <c r="E129" i="7"/>
  <c r="F129" i="7" s="1"/>
  <c r="B153" i="1"/>
  <c r="C132" i="1"/>
  <c r="C151" i="1"/>
  <c r="C149" i="1"/>
  <c r="B134" i="1"/>
  <c r="B1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B12"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B18"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3"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B27"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3"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4"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0"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1"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4"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5"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8"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t>
        </r>
        <r>
          <rPr>
            <i/>
            <sz val="8"/>
            <color indexed="8"/>
            <rFont val="Tahoma"/>
            <family val="2"/>
          </rPr>
          <t>Average values :</t>
        </r>
        <r>
          <rPr>
            <sz val="8"/>
            <color indexed="8"/>
            <rFont val="Tahoma"/>
            <family val="2"/>
          </rPr>
          <t xml:space="preserve">
MicroFusée                  : 1m  :    </t>
        </r>
        <r>
          <rPr>
            <i/>
            <sz val="8"/>
            <color indexed="8"/>
            <rFont val="Tahoma"/>
            <family val="2"/>
          </rPr>
          <t>Micro-rocket</t>
        </r>
        <r>
          <rPr>
            <sz val="8"/>
            <color indexed="8"/>
            <rFont val="Tahoma"/>
            <family val="2"/>
          </rPr>
          <t xml:space="preserve">
MiniFusée                    : 2m5:   </t>
        </r>
        <r>
          <rPr>
            <i/>
            <sz val="8"/>
            <color indexed="8"/>
            <rFont val="Tahoma"/>
            <family val="2"/>
          </rPr>
          <t xml:space="preserve"> Mini-rocket
Rocketry Challenge    </t>
        </r>
        <r>
          <rPr>
            <sz val="8"/>
            <color indexed="8"/>
            <rFont val="Tahoma"/>
            <family val="2"/>
          </rPr>
          <t xml:space="preserve">: 3m
Fusée Expérimentale  : 4m  :   </t>
        </r>
        <r>
          <rPr>
            <i/>
            <sz val="8"/>
            <color indexed="8"/>
            <rFont val="Tahoma"/>
            <family val="2"/>
          </rPr>
          <t>Experimental Rocket</t>
        </r>
      </text>
    </comment>
    <comment ref="B19"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0"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3"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3"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4"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7"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B28"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M28"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3"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0"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0"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0"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0"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1"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2"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6"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3"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<sst xmlns="http://schemas.openxmlformats.org/spreadsheetml/2006/main" count="1716" uniqueCount="561">
  <si>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</si>
  <si>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</si>
  <si>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</si>
  <si>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</si>
  <si>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</si>
  <si>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</si>
  <si>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</si>
  <si>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</si>
  <si>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</si>
  <si>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</si>
  <si>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</si>
  <si>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</si>
  <si>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</si>
  <si>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</si>
  <si>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</si>
  <si>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</si>
  <si>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</si>
  <si>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</si>
  <si>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</si>
  <si>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</si>
  <si>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</si>
  <si>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</si>
  <si>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</si>
  <si>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</si>
  <si>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</si>
  <si>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</si>
  <si>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</si>
  <si>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</si>
  <si>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</si>
  <si>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</si>
  <si>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</si>
  <si>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</si>
  <si>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</si>
  <si>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</si>
  <si>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</si>
  <si>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</si>
  <si>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</si>
  <si>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Pro75-2G</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</si>
  <si>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</si>
  <si>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</si>
  <si>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</si>
  <si>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</si>
  <si>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</si>
  <si>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</si>
  <si>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</si>
  <si>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</si>
  <si>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</si>
  <si>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</si>
  <si>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</si>
  <si>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</si>
  <si>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</si>
  <si>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</si>
  <si>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</si>
  <si>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</si>
  <si>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</si>
  <si>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</si>
  <si>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</si>
  <si>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</si>
  <si>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</si>
  <si>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</si>
  <si>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</si>
  <si>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</si>
  <si>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</si>
  <si>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</si>
  <si>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</si>
  <si>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</si>
  <si>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</si>
  <si>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</si>
  <si>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</si>
  <si>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</si>
  <si>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</si>
  <si>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</si>
  <si>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</si>
  <si>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</si>
  <si>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</si>
  <si>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</si>
  <si>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</si>
  <si>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</si>
  <si>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</si>
  <si>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</si>
  <si>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</si>
  <si>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</si>
  <si>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</si>
  <si>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</si>
  <si>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</si>
  <si>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</si>
  <si>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</si>
  <si>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</si>
  <si>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</si>
  <si>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</si>
  <si>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</si>
  <si>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</si>
  <si>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</si>
  <si>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</si>
  <si>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</si>
  <si>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</si>
  <si>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</si>
  <si>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</si>
  <si>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</si>
  <si>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</si>
  <si>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</si>
  <si>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</si>
  <si>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</si>
  <si>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</si>
  <si>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</si>
  <si>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</si>
  <si>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</si>
  <si>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</si>
  <si>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</si>
  <si>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</si>
  <si>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</si>
  <si>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</si>
  <si>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</si>
  <si>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</si>
  <si>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</si>
  <si>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</si>
  <si>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</si>
  <si>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</si>
  <si>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</si>
  <si>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</si>
  <si>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</si>
  <si>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</si>
  <si>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</si>
  <si>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</si>
  <si>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</si>
  <si>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</si>
  <si>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</si>
  <si>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</si>
  <si>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</si>
  <si>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</si>
  <si>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</si>
  <si>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</si>
  <si>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</si>
  <si>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</si>
  <si>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</si>
  <si>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</si>
  <si>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</si>
  <si>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</si>
  <si>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</si>
  <si>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</si>
  <si>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</si>
  <si>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</si>
  <si>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</si>
  <si>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</si>
  <si>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</si>
  <si>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</si>
  <si>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</si>
  <si>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</si>
  <si>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</si>
  <si>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</si>
  <si>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</si>
  <si>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</si>
  <si>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</si>
  <si>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</si>
  <si>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</si>
  <si>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</si>
  <si>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</si>
  <si>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</si>
  <si>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</si>
  <si>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</si>
  <si>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</si>
  <si>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</si>
  <si>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</si>
  <si>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</si>
  <si>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</si>
  <si>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</si>
  <si>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</si>
  <si>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</si>
  <si>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</si>
  <si>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</si>
  <si>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</si>
  <si>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</si>
  <si>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</si>
  <si>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</si>
  <si>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</si>
  <si>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</si>
  <si>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</si>
  <si>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</si>
  <si>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</si>
  <si>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</si>
  <si>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</si>
  <si>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</si>
  <si>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</si>
  <si>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</si>
  <si>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</si>
  <si>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</si>
  <si>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</si>
  <si>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</si>
  <si>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</si>
  <si>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</si>
  <si>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</si>
  <si>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</si>
  <si>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</si>
  <si>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</si>
  <si>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</si>
  <si>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</si>
  <si>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</si>
  <si>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</si>
  <si>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</si>
  <si>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</si>
  <si>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</si>
  <si>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</si>
  <si>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</si>
  <si>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</si>
  <si>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</si>
  <si>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</si>
  <si>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</si>
  <si>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</si>
  <si>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</si>
  <si>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</si>
  <si>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</si>
  <si>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</si>
  <si>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</si>
  <si>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</si>
  <si>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</si>
  <si>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</si>
  <si>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</si>
  <si>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</si>
  <si>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</si>
  <si>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</si>
  <si>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</si>
  <si>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</si>
  <si>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</si>
  <si>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</si>
  <si>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</si>
  <si>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</si>
  <si>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</si>
  <si>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</si>
  <si>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</si>
  <si>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</si>
  <si>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</si>
  <si>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</si>
  <si>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</si>
  <si>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</si>
  <si>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</si>
  <si>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</si>
  <si>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</si>
  <si>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</si>
  <si>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</si>
  <si>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</si>
  <si>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</si>
  <si>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</si>
  <si>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</si>
  <si>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</si>
  <si>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</si>
  <si>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</si>
  <si>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</si>
  <si>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</si>
  <si>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</si>
  <si>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</si>
  <si>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</si>
  <si>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</si>
  <si>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</si>
  <si>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</si>
  <si>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</si>
  <si>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</si>
  <si>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</si>
  <si>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</si>
  <si>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</si>
  <si>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</si>
  <si>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</si>
  <si>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</si>
  <si>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</si>
  <si>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</si>
  <si>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</si>
  <si>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</si>
  <si>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</si>
  <si>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</si>
  <si>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</si>
  <si>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</si>
  <si>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</si>
  <si>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</si>
  <si>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</si>
  <si>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</si>
  <si>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</si>
  <si>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</si>
  <si>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</si>
  <si>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</si>
  <si>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</si>
  <si>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</si>
  <si>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</si>
  <si>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</si>
  <si>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</si>
  <si>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</si>
  <si>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</si>
  <si>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</si>
  <si>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</si>
  <si>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</si>
  <si>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</si>
  <si>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</si>
  <si>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</si>
  <si>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</si>
  <si>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</si>
  <si>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</si>
  <si>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</si>
  <si>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</si>
  <si>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</si>
  <si>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</si>
  <si>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</si>
  <si>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</si>
  <si>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</si>
  <si>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</si>
  <si>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</si>
  <si>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</si>
  <si>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</si>
  <si>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</si>
  <si>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</si>
  <si>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</si>
  <si>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</si>
  <si>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</si>
  <si>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</si>
  <si>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</si>
  <si>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</si>
  <si>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</si>
  <si>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</si>
  <si>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</si>
  <si>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</si>
  <si>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</si>
  <si>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</si>
  <si>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Pro98-2G WT</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</si>
  <si>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</si>
  <si>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</si>
  <si>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</si>
  <si>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</si>
  <si>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</si>
  <si>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</si>
  <si>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</si>
  <si>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</si>
  <si>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</si>
  <si>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</si>
  <si>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</si>
  <si>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</si>
  <si>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</si>
  <si>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</si>
  <si>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</si>
  <si>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</si>
  <si>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</si>
  <si>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</si>
  <si>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</si>
  <si>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</si>
  <si>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</si>
  <si>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</si>
  <si>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</si>
  <si>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</si>
  <si>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</si>
  <si>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</si>
  <si>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</si>
  <si>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</si>
  <si>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</si>
  <si>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</si>
  <si>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</si>
  <si>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</si>
  <si>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</si>
  <si>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</si>
  <si>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</si>
  <si>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</si>
  <si>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</si>
  <si>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</si>
  <si>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</si>
  <si>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</si>
  <si>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</si>
  <si>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</si>
  <si>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</si>
  <si>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</si>
  <si>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</si>
  <si>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</si>
  <si>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</si>
  <si>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</si>
  <si>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</si>
  <si>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</si>
  <si>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</si>
  <si>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</si>
  <si>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</si>
  <si>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</si>
  <si>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</si>
  <si>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</si>
  <si>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</si>
  <si>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</si>
  <si>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</si>
  <si>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</si>
  <si>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</si>
  <si>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</si>
  <si>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</si>
  <si>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</si>
  <si>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</si>
  <si>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</si>
  <si>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</si>
  <si>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</si>
  <si>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</si>
  <si>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</si>
  <si>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</si>
  <si>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</si>
  <si>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</si>
  <si>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</si>
  <si>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</si>
  <si>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</si>
  <si>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</si>
  <si>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</si>
  <si>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</si>
  <si>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</si>
  <si>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</si>
  <si>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</si>
  <si>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</si>
  <si>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</si>
  <si>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</si>
  <si>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</si>
  <si>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</si>
  <si>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</si>
  <si>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</si>
  <si>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</si>
  <si>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</si>
  <si>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</si>
  <si>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</si>
  <si>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</si>
  <si>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</si>
  <si>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</si>
  <si>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</si>
  <si>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</si>
  <si>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</si>
  <si>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</si>
  <si>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</si>
  <si>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</si>
  <si>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</si>
  <si>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</si>
  <si>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</si>
  <si>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</si>
  <si>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</si>
  <si>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</si>
  <si>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</si>
  <si>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</si>
  <si>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</si>
  <si>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</si>
  <si>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</si>
  <si>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</si>
  <si>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</si>
  <si>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</si>
  <si>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</si>
  <si>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</si>
  <si>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</si>
  <si>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</si>
  <si>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</si>
  <si>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</si>
  <si>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</si>
  <si>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</si>
  <si>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</si>
  <si>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</si>
  <si>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</si>
  <si>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</si>
  <si>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</si>
  <si>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</si>
  <si>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</si>
  <si>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</si>
  <si>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</si>
  <si>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</si>
  <si>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</si>
  <si>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</si>
  <si>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</si>
  <si>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</si>
  <si>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</si>
  <si>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</si>
  <si>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</si>
  <si>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</si>
  <si>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</si>
  <si>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</si>
  <si>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</si>
  <si>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</si>
  <si>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</si>
  <si>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</si>
  <si>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</si>
  <si>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</si>
  <si>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</si>
  <si>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</si>
  <si>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</si>
  <si>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</si>
  <si>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</si>
  <si>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</si>
  <si>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</si>
  <si>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</si>
  <si>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</si>
  <si>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</si>
  <si>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</si>
  <si>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</si>
  <si>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</si>
  <si>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</si>
  <si>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</si>
  <si>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</si>
  <si>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</si>
  <si>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</si>
  <si>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</si>
  <si>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</si>
  <si>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</si>
  <si>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</si>
  <si>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</si>
  <si>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</si>
  <si>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</si>
  <si>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</si>
  <si>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</si>
  <si>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</si>
  <si>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</si>
  <si>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</si>
  <si>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</si>
  <si>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</si>
  <si>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</si>
  <si>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</si>
  <si>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</si>
  <si>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</si>
  <si>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</si>
  <si>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</si>
  <si>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</si>
  <si>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</si>
  <si>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</si>
  <si>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</si>
  <si>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</si>
  <si>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</si>
  <si>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</si>
  <si>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</si>
  <si>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</si>
  <si>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</si>
  <si>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</si>
  <si>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</si>
  <si>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</si>
  <si>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</si>
  <si>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</si>
  <si>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</si>
  <si>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</si>
  <si>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</si>
  <si>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</si>
  <si>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</si>
  <si>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</si>
  <si>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</si>
  <si>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</si>
  <si>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</si>
  <si>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</si>
  <si>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</si>
  <si>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</si>
  <si>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</si>
  <si>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</si>
  <si>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</si>
  <si>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</si>
  <si>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</si>
  <si>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</si>
  <si>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</si>
  <si>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</si>
  <si>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</si>
  <si>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</si>
  <si>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</si>
  <si>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v3.4.2</t>
  </si>
  <si>
    <t>p29-1G 56F31</t>
  </si>
  <si>
    <t xml:space="preserve"> 143G150 BS</t>
  </si>
  <si>
    <t>StabTraj V3.4.2</t>
  </si>
  <si>
    <t>Ogivale (pointue)</t>
  </si>
  <si>
    <t>Ajout propu</t>
  </si>
  <si>
    <t>Fusée mono-diamètre,</t>
  </si>
  <si>
    <t>Pandora (Pro24-6G BS)</t>
  </si>
  <si>
    <t>Barasinga (Pro54-5G C)</t>
  </si>
  <si>
    <t>Orignal (Pro75-3G C)</t>
  </si>
  <si>
    <t>Blastocerus (Pro98-6GXL RL)</t>
  </si>
  <si>
    <t>Indra</t>
  </si>
  <si>
    <t>Space'Tech Orléans</t>
  </si>
  <si>
    <t>Fusée expérimentale.</t>
  </si>
  <si>
    <t>avec propu plein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</si>
</sst>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1"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s>
  <fills count="34">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s>
  <borders count="103">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s>
  <cellStyleXfs count="3">
    <xf numFmtId="0" fontId="0" fillId="0" borderId="0"/>
    <xf numFmtId="0" fontId="10" fillId="0" borderId="0" applyNumberFormat="0" applyFill="0" applyBorder="0" applyAlignment="0" applyProtection="0"/>
    <xf numFmtId="0" fontId="1" fillId="0" borderId="0"/>
  </cellStyleXfs>
  <cellXfs count="67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170" fontId="2" fillId="3" borderId="25" xfId="0" applyNumberFormat="1" applyFont="1" applyFill="1" applyBorder="1" applyAlignment="1" applyProtection="1">
      <alignment horizontal="center" vertical="center"/>
      <protection locked="0"/>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0" fontId="0" fillId="30" borderId="2" xfId="0" applyFill="1" applyBorder="1" applyAlignment="1">
      <alignmen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2"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45" fillId="0" borderId="83" xfId="2" applyFont="1" applyBorder="1" applyAlignment="1">
      <alignment horizontal="center"/>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46"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0" fontId="2" fillId="12" borderId="15" xfId="0" applyFont="1" applyFill="1" applyBorder="1" applyAlignment="1" applyProtection="1">
      <alignment horizontal="center"/>
      <protection hidden="1"/>
    </xf>
    <xf numFmtId="166" fontId="2" fillId="17" borderId="46" xfId="0" applyNumberFormat="1" applyFont="1" applyFill="1" applyBorder="1" applyAlignment="1">
      <alignment horizontal="center" vertical="center"/>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3" fillId="20" borderId="0" xfId="0" applyFont="1" applyFill="1" applyAlignment="1">
      <alignment horizontal="center"/>
    </xf>
    <xf numFmtId="0" fontId="35" fillId="13" borderId="15"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0" fillId="0" borderId="0" xfId="0" applyAlignment="1">
      <alignment horizontal="center"/>
    </xf>
    <xf numFmtId="0" fontId="0" fillId="30" borderId="21" xfId="0" applyFill="1" applyBorder="1" applyAlignment="1">
      <alignment horizontal="center"/>
    </xf>
    <xf numFmtId="0" fontId="0" fillId="30" borderId="23" xfId="0" applyFill="1" applyBorder="1" applyAlignment="1">
      <alignment horizontal="center"/>
    </xf>
    <xf numFmtId="0" fontId="0" fillId="0" borderId="0" xfId="0"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0" borderId="33" xfId="0"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0" borderId="33" xfId="0"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0" fontId="2" fillId="0" borderId="12" xfId="0" applyFont="1" applyBorder="1" applyAlignment="1">
      <alignment horizontal="center" vertical="center"/>
    </xf>
    <xf numFmtId="0" fontId="2" fillId="0" borderId="102" xfId="0"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xf numFmtId="165" fontId="2" fillId="0" borderId="12" xfId="0" applyNumberFormat="1" applyFont="1" applyBorder="1" applyAlignment="1">
      <alignment horizontal="center" vertical="center"/>
    </xf>
    <xf numFmtId="1" fontId="2" fillId="0" borderId="12" xfId="0" applyNumberFormat="1" applyFont="1" applyBorder="1" applyAlignment="1">
      <alignment horizontal="center" vertic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theme="0"/>
      </font>
      <fill>
        <patternFill>
          <bgColor theme="0"/>
        </patternFill>
      </fill>
      <border>
        <left/>
        <right/>
        <top/>
        <bottom/>
      </border>
    </dxf>
    <dxf>
      <font>
        <color rgb="FFFFFF99"/>
        <name val="Cambria"/>
        <scheme val="none"/>
      </font>
    </dxf>
    <dxf>
      <font>
        <color rgb="FFFFCC99"/>
      </font>
    </dxf>
    <dxf>
      <fill>
        <patternFill>
          <bgColor rgb="FFFF0000"/>
        </patternFill>
      </fill>
    </dxf>
    <dxf>
      <fill>
        <patternFill>
          <bgColor rgb="FFFF0000"/>
        </patternFill>
      </fill>
    </dxf>
    <dxf>
      <font>
        <color rgb="FFCC6600"/>
      </font>
    </dxf>
    <dxf>
      <font>
        <color rgb="FFCC6600"/>
      </font>
    </dxf>
    <dxf>
      <font>
        <color rgb="FF808080"/>
      </font>
    </dxf>
    <dxf>
      <font>
        <color rgb="FFFF0000"/>
      </font>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indexed="9"/>
      </font>
      <fill>
        <patternFill patternType="solid">
          <bgColor indexed="9"/>
        </patternFill>
      </fill>
      <border>
        <left/>
        <right/>
        <top/>
        <bottom/>
      </border>
    </dxf>
    <dxf>
      <font>
        <color theme="0"/>
      </font>
      <fill>
        <patternFill patternType="solid">
          <bgColor theme="0"/>
        </patternFill>
      </fill>
      <border>
        <right/>
        <bottom/>
      </border>
    </dxf>
    <dxf>
      <font>
        <color rgb="FFCCFFFF"/>
      </font>
    </dxf>
    <dxf>
      <fill>
        <patternFill>
          <bgColor indexed="10"/>
        </patternFill>
      </fill>
    </dxf>
    <dxf>
      <font>
        <color theme="0"/>
      </font>
      <fill>
        <patternFill>
          <bgColor theme="0"/>
        </patternFill>
      </fill>
      <border>
        <right/>
        <top/>
        <bottom/>
      </border>
    </dxf>
    <dxf>
      <fill>
        <patternFill patternType="solid">
          <fgColor indexed="53"/>
          <bgColor rgb="FFFF0000"/>
        </patternFill>
      </fill>
    </dxf>
    <dxf>
      <fill>
        <patternFill patternType="solid">
          <fgColor indexed="60"/>
          <bgColor indexed="10"/>
        </patternFill>
      </fill>
    </dxf>
    <dxf>
      <fill>
        <patternFill patternType="solid">
          <fgColor indexed="60"/>
          <bgColor indexed="10"/>
        </patternFill>
      </fill>
    </dxf>
    <dxf>
      <font>
        <color rgb="FFFF0000"/>
      </font>
    </dxf>
    <dxf>
      <font>
        <color theme="0"/>
      </font>
    </dxf>
    <dxf>
      <font>
        <color theme="1"/>
      </font>
    </dxf>
    <dxf>
      <font>
        <color theme="1"/>
      </font>
    </dxf>
    <dxf>
      <font>
        <color rgb="FFCC6600"/>
      </font>
    </dxf>
    <dxf>
      <font>
        <color rgb="FFCC6600"/>
      </font>
    </dxf>
    <dxf>
      <font>
        <color rgb="FFCC6600"/>
      </font>
    </dxf>
    <dxf>
      <font>
        <color rgb="FFCC6600"/>
      </font>
    </dxf>
    <dxf>
      <font>
        <color rgb="FFCC6600"/>
      </font>
    </dxf>
    <dxf>
      <font>
        <color rgb="FFCC6600"/>
      </font>
    </dxf>
    <dxf>
      <font>
        <color rgb="FFCC6600"/>
      </font>
    </dxf>
    <dxf>
      <font>
        <color rgb="FFFF0000"/>
      </font>
    </dxf>
    <dxf>
      <font>
        <color rgb="FF808080"/>
      </font>
    </dxf>
    <dxf>
      <font>
        <color rgb="FFFF0000"/>
      </font>
    </dxf>
    <dxf>
      <font>
        <color rgb="FFCC6600"/>
      </font>
    </dxf>
    <dxf>
      <font>
        <color theme="0"/>
      </font>
      <fill>
        <patternFill>
          <bgColor theme="0"/>
        </patternFill>
      </fill>
      <border>
        <left/>
        <right/>
        <bottom/>
      </border>
    </dxf>
    <dxf>
      <font>
        <condense val="0"/>
        <extend val="0"/>
        <color indexed="9"/>
      </font>
      <fill>
        <patternFill patternType="none">
          <bgColor indexed="65"/>
        </patternFill>
      </fill>
      <border>
        <left/>
        <right/>
        <top/>
        <bottom/>
      </border>
    </dxf>
    <dxf>
      <font>
        <color indexed="9"/>
      </font>
      <fill>
        <patternFill>
          <bgColor indexed="9"/>
        </patternFill>
      </fill>
      <border>
        <left/>
        <right/>
        <top/>
        <bottom/>
      </border>
    </dxf>
    <dxf>
      <font>
        <color rgb="FFFF0000"/>
      </font>
    </dxf>
    <dxf>
      <font>
        <color rgb="FFFF0000"/>
      </font>
    </dxf>
    <dxf>
      <font>
        <color rgb="FFFF0000"/>
      </font>
    </dxf>
    <dxf>
      <font>
        <color rgb="FFFF0000"/>
      </font>
    </dxf>
    <dxf>
      <font>
        <color rgb="FFFF0000"/>
      </font>
    </dxf>
    <dxf>
      <font>
        <color rgb="FFFF0000"/>
      </font>
    </dxf>
    <dxf>
      <font>
        <condense val="0"/>
        <extend val="0"/>
        <color indexed="11"/>
      </font>
    </dxf>
    <dxf>
      <font>
        <condense val="0"/>
        <extend val="0"/>
        <color indexed="9"/>
      </font>
      <fill>
        <patternFill patternType="none">
          <bgColor indexed="65"/>
        </patternFill>
      </fill>
      <border>
        <left/>
        <right/>
        <top/>
        <bottom/>
      </border>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50</c:v>
                </c:pt>
                <c:pt idx="2">
                  <c:v>50</c:v>
                </c:pt>
                <c:pt idx="3">
                  <c:v>50</c:v>
                </c:pt>
                <c:pt idx="4">
                  <c:v>50</c:v>
                </c:pt>
                <c:pt idx="5">
                  <c:v>50</c:v>
                </c:pt>
                <c:pt idx="6">
                  <c:v>50</c:v>
                </c:pt>
                <c:pt idx="7">
                  <c:v>0</c:v>
                </c:pt>
              </c:numCache>
            </c:numRef>
          </c:xVal>
          <c:yVal>
            <c:numRef>
              <c:f>Stabilito!$C$124:$C$131</c:f>
              <c:numCache>
                <c:formatCode>0</c:formatCode>
                <c:ptCount val="8"/>
                <c:pt idx="0">
                  <c:v>-250</c:v>
                </c:pt>
                <c:pt idx="1">
                  <c:v>-250</c:v>
                </c:pt>
                <c:pt idx="2">
                  <c:v>-250</c:v>
                </c:pt>
                <c:pt idx="3">
                  <c:v>-250</c:v>
                </c:pt>
                <c:pt idx="4">
                  <c:v>-250</c:v>
                </c:pt>
                <c:pt idx="5">
                  <c:v>-250</c:v>
                </c:pt>
                <c:pt idx="6">
                  <c:v>-1755</c:v>
                </c:pt>
                <c:pt idx="7">
                  <c:v>-1755</c:v>
                </c:pt>
              </c:numCache>
            </c:numRef>
          </c:yVal>
          <c:smooth val="0"/>
          <c:extLst>
            <c:ext xmlns:c16="http://schemas.microsoft.com/office/drawing/2014/chart" uri="{C3380CC4-5D6E-409C-BE32-E72D297353CC}">
              <c16:uniqueId val="{00000000-55B2-4265-BF98-AB5DCB6E604E}"/>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50</c:v>
                </c:pt>
                <c:pt idx="1">
                  <c:v>210</c:v>
                </c:pt>
                <c:pt idx="2">
                  <c:v>210</c:v>
                </c:pt>
                <c:pt idx="3">
                  <c:v>50</c:v>
                </c:pt>
                <c:pt idx="4">
                  <c:v>50</c:v>
                </c:pt>
              </c:numCache>
            </c:numRef>
          </c:xVal>
          <c:yVal>
            <c:numRef>
              <c:f>Stabilito!$C$132:$C$136</c:f>
              <c:numCache>
                <c:formatCode>0</c:formatCode>
                <c:ptCount val="5"/>
                <c:pt idx="0">
                  <c:v>-1505</c:v>
                </c:pt>
                <c:pt idx="1">
                  <c:v>-1705</c:v>
                </c:pt>
                <c:pt idx="2">
                  <c:v>-1825</c:v>
                </c:pt>
                <c:pt idx="3">
                  <c:v>-1755</c:v>
                </c:pt>
                <c:pt idx="4">
                  <c:v>-1505</c:v>
                </c:pt>
              </c:numCache>
            </c:numRef>
          </c:yVal>
          <c:smooth val="0"/>
          <c:extLst>
            <c:ext xmlns:c16="http://schemas.microsoft.com/office/drawing/2014/chart" uri="{C3380CC4-5D6E-409C-BE32-E72D297353CC}">
              <c16:uniqueId val="{00000001-55B2-4265-BF98-AB5DCB6E604E}"/>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-50</c:v>
                </c:pt>
                <c:pt idx="2">
                  <c:v>-50</c:v>
                </c:pt>
                <c:pt idx="3">
                  <c:v>-50</c:v>
                </c:pt>
                <c:pt idx="4">
                  <c:v>-50</c:v>
                </c:pt>
                <c:pt idx="5">
                  <c:v>-50</c:v>
                </c:pt>
                <c:pt idx="6">
                  <c:v>-50</c:v>
                </c:pt>
                <c:pt idx="7">
                  <c:v>0</c:v>
                </c:pt>
              </c:numCache>
            </c:numRef>
          </c:xVal>
          <c:yVal>
            <c:numRef>
              <c:f>Stabilito!$C$124:$C$131</c:f>
              <c:numCache>
                <c:formatCode>0</c:formatCode>
                <c:ptCount val="8"/>
                <c:pt idx="0">
                  <c:v>-250</c:v>
                </c:pt>
                <c:pt idx="1">
                  <c:v>-250</c:v>
                </c:pt>
                <c:pt idx="2">
                  <c:v>-250</c:v>
                </c:pt>
                <c:pt idx="3">
                  <c:v>-250</c:v>
                </c:pt>
                <c:pt idx="4">
                  <c:v>-250</c:v>
                </c:pt>
                <c:pt idx="5">
                  <c:v>-250</c:v>
                </c:pt>
                <c:pt idx="6">
                  <c:v>-1755</c:v>
                </c:pt>
                <c:pt idx="7">
                  <c:v>-1755</c:v>
                </c:pt>
              </c:numCache>
            </c:numRef>
          </c:yVal>
          <c:smooth val="0"/>
          <c:extLst>
            <c:ext xmlns:c16="http://schemas.microsoft.com/office/drawing/2014/chart" uri="{C3380CC4-5D6E-409C-BE32-E72D297353CC}">
              <c16:uniqueId val="{00000002-55B2-4265-BF98-AB5DCB6E604E}"/>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-50</c:v>
                </c:pt>
                <c:pt idx="1">
                  <c:v>-210</c:v>
                </c:pt>
                <c:pt idx="2">
                  <c:v>-210</c:v>
                </c:pt>
                <c:pt idx="3">
                  <c:v>-50</c:v>
                </c:pt>
                <c:pt idx="4">
                  <c:v>-50</c:v>
                </c:pt>
              </c:numCache>
            </c:numRef>
          </c:xVal>
          <c:yVal>
            <c:numRef>
              <c:f>Stabilito!$C$132:$C$136</c:f>
              <c:numCache>
                <c:formatCode>0</c:formatCode>
                <c:ptCount val="5"/>
                <c:pt idx="0">
                  <c:v>-1505</c:v>
                </c:pt>
                <c:pt idx="1">
                  <c:v>-1705</c:v>
                </c:pt>
                <c:pt idx="2">
                  <c:v>-1825</c:v>
                </c:pt>
                <c:pt idx="3">
                  <c:v>-1755</c:v>
                </c:pt>
                <c:pt idx="4">
                  <c:v>-1505</c:v>
                </c:pt>
              </c:numCache>
            </c:numRef>
          </c:yVal>
          <c:smooth val="0"/>
          <c:extLst>
            <c:ext xmlns:c16="http://schemas.microsoft.com/office/drawing/2014/chart" uri="{C3380CC4-5D6E-409C-BE32-E72D297353CC}">
              <c16:uniqueId val="{00000003-55B2-4265-BF98-AB5DCB6E604E}"/>
            </c:ext>
          </c:extLst>
        </c:ser>
        <c:ser>
          <c:idx val="4"/>
          <c:order val="4"/>
          <c:tx>
            <c:strRef>
              <c:f>Stabilito!$B$12</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-1216.3601484282015</c:v>
                </c:pt>
                <c:pt idx="1">
                  <c:v>-1171.740209508461</c:v>
                </c:pt>
              </c:numCache>
            </c:numRef>
          </c:yVal>
          <c:smooth val="0"/>
          <c:extLst>
            <c:ext xmlns:c16="http://schemas.microsoft.com/office/drawing/2014/chart" uri="{C3380CC4-5D6E-409C-BE32-E72D297353CC}">
              <c16:uniqueId val="{00000005-55B2-4265-BF98-AB5DCB6E604E}"/>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148.02052364697087</c:v>
                </c:pt>
                <c:pt idx="2">
                  <c:v>148.02052364697087</c:v>
                </c:pt>
                <c:pt idx="3">
                  <c:v>0</c:v>
                </c:pt>
              </c:numCache>
            </c:numRef>
          </c:xVal>
          <c:yVal>
            <c:numRef>
              <c:f>Stabilito!$C$151:$C$154</c:f>
              <c:numCache>
                <c:formatCode>0</c:formatCode>
                <c:ptCount val="4"/>
                <c:pt idx="0">
                  <c:v>-1504.0933911209454</c:v>
                </c:pt>
                <c:pt idx="1">
                  <c:v>-1504.0933911209454</c:v>
                </c:pt>
                <c:pt idx="2">
                  <c:v>-1504.0933911209454</c:v>
                </c:pt>
                <c:pt idx="3">
                  <c:v>-1504.0933911209454</c:v>
                </c:pt>
              </c:numCache>
            </c:numRef>
          </c:yVal>
          <c:smooth val="0"/>
          <c:extLst>
            <c:ext xmlns:c16="http://schemas.microsoft.com/office/drawing/2014/chart" uri="{C3380CC4-5D6E-409C-BE32-E72D297353CC}">
              <c16:uniqueId val="{00000007-55B2-4265-BF98-AB5DCB6E604E}"/>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55B2-4265-BF98-AB5DCB6E604E}"/>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55B2-4265-BF98-AB5DCB6E604E}"/>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55B2-4265-BF98-AB5DCB6E604E}"/>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55B2-4265-BF98-AB5DCB6E604E}"/>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585</c:v>
                </c:pt>
                <c:pt idx="1">
                  <c:v>-585</c:v>
                </c:pt>
              </c:numCache>
            </c:numRef>
          </c:xVal>
          <c:yVal>
            <c:numRef>
              <c:f>Stabilito!$C$168:$C$169</c:f>
              <c:numCache>
                <c:formatCode>0</c:formatCode>
                <c:ptCount val="2"/>
                <c:pt idx="0">
                  <c:v>-1843.25</c:v>
                </c:pt>
                <c:pt idx="1">
                  <c:v>-1843.25</c:v>
                </c:pt>
              </c:numCache>
            </c:numRef>
          </c:yVal>
          <c:smooth val="0"/>
          <c:extLst>
            <c:ext xmlns:c16="http://schemas.microsoft.com/office/drawing/2014/chart" uri="{C3380CC4-5D6E-409C-BE32-E72D297353CC}">
              <c16:uniqueId val="{0000000C-55B2-4265-BF98-AB5DCB6E604E}"/>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-37.5</c:v>
                </c:pt>
                <c:pt idx="1">
                  <c:v>37.5</c:v>
                </c:pt>
                <c:pt idx="2">
                  <c:v>37.5</c:v>
                </c:pt>
                <c:pt idx="3">
                  <c:v>-37.5</c:v>
                </c:pt>
                <c:pt idx="4">
                  <c:v>-37.5</c:v>
                </c:pt>
              </c:numCache>
            </c:numRef>
          </c:xVal>
          <c:yVal>
            <c:numRef>
              <c:f>Stabilito!$C$170:$C$174</c:f>
              <c:numCache>
                <c:formatCode>0</c:formatCode>
                <c:ptCount val="5"/>
                <c:pt idx="0">
                  <c:v>-1269</c:v>
                </c:pt>
                <c:pt idx="1">
                  <c:v>-1269</c:v>
                </c:pt>
                <c:pt idx="2">
                  <c:v>-1755</c:v>
                </c:pt>
                <c:pt idx="3">
                  <c:v>-1755</c:v>
                </c:pt>
                <c:pt idx="4">
                  <c:v>-1269</c:v>
                </c:pt>
              </c:numCache>
            </c:numRef>
          </c:yVal>
          <c:smooth val="0"/>
          <c:extLst>
            <c:ext xmlns:c16="http://schemas.microsoft.com/office/drawing/2014/chart" uri="{C3380CC4-5D6E-409C-BE32-E72D297353CC}">
              <c16:uniqueId val="{0000000D-55B2-4265-BF98-AB5DCB6E604E}"/>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10</c:v>
                </c:pt>
                <c:pt idx="2">
                  <c:v>25</c:v>
                </c:pt>
                <c:pt idx="3">
                  <c:v>37.5</c:v>
                </c:pt>
                <c:pt idx="4">
                  <c:v>45</c:v>
                </c:pt>
                <c:pt idx="5">
                  <c:v>50</c:v>
                </c:pt>
              </c:numCache>
            </c:numRef>
          </c:xVal>
          <c:yVal>
            <c:numRef>
              <c:f>Stabilito!$C$175:$C$180</c:f>
              <c:numCache>
                <c:formatCode>0</c:formatCode>
                <c:ptCount val="6"/>
                <c:pt idx="0">
                  <c:v>0</c:v>
                </c:pt>
                <c:pt idx="1">
                  <c:v>-25</c:v>
                </c:pt>
                <c:pt idx="2">
                  <c:v>-62.5</c:v>
                </c:pt>
                <c:pt idx="3">
                  <c:v>-125</c:v>
                </c:pt>
                <c:pt idx="4">
                  <c:v>-187.5</c:v>
                </c:pt>
                <c:pt idx="5">
                  <c:v>-250</c:v>
                </c:pt>
              </c:numCache>
            </c:numRef>
          </c:yVal>
          <c:smooth val="0"/>
          <c:extLst>
            <c:ext xmlns:c16="http://schemas.microsoft.com/office/drawing/2014/chart" uri="{C3380CC4-5D6E-409C-BE32-E72D297353CC}">
              <c16:uniqueId val="{0000000E-55B2-4265-BF98-AB5DCB6E604E}"/>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-10</c:v>
                </c:pt>
                <c:pt idx="2">
                  <c:v>-25</c:v>
                </c:pt>
                <c:pt idx="3">
                  <c:v>-37.5</c:v>
                </c:pt>
                <c:pt idx="4">
                  <c:v>-45</c:v>
                </c:pt>
                <c:pt idx="5">
                  <c:v>-50</c:v>
                </c:pt>
              </c:numCache>
            </c:numRef>
          </c:xVal>
          <c:yVal>
            <c:numRef>
              <c:f>Stabilito!$C$175:$C$180</c:f>
              <c:numCache>
                <c:formatCode>0</c:formatCode>
                <c:ptCount val="6"/>
                <c:pt idx="0">
                  <c:v>0</c:v>
                </c:pt>
                <c:pt idx="1">
                  <c:v>-25</c:v>
                </c:pt>
                <c:pt idx="2">
                  <c:v>-62.5</c:v>
                </c:pt>
                <c:pt idx="3">
                  <c:v>-125</c:v>
                </c:pt>
                <c:pt idx="4">
                  <c:v>-187.5</c:v>
                </c:pt>
                <c:pt idx="5">
                  <c:v>-250</c:v>
                </c:pt>
              </c:numCache>
            </c:numRef>
          </c:yVal>
          <c:smooth val="0"/>
          <c:extLst>
            <c:ext xmlns:c16="http://schemas.microsoft.com/office/drawing/2014/chart" uri="{C3380CC4-5D6E-409C-BE32-E72D297353CC}">
              <c16:uniqueId val="{0000000F-55B2-4265-BF98-AB5DCB6E604E}"/>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-210</c:v>
                </c:pt>
                <c:pt idx="1">
                  <c:v>-130</c:v>
                </c:pt>
                <c:pt idx="2">
                  <c:v>-50</c:v>
                </c:pt>
              </c:numCache>
            </c:numRef>
          </c:xVal>
          <c:yVal>
            <c:numRef>
              <c:f>Stabilito!$C$137:$C$139</c:f>
              <c:numCache>
                <c:formatCode>0</c:formatCode>
                <c:ptCount val="3"/>
                <c:pt idx="0">
                  <c:v>-1883.5</c:v>
                </c:pt>
                <c:pt idx="1">
                  <c:v>-1883.5</c:v>
                </c:pt>
                <c:pt idx="2">
                  <c:v>-1883.5</c:v>
                </c:pt>
              </c:numCache>
            </c:numRef>
          </c:yVal>
          <c:smooth val="0"/>
          <c:extLst>
            <c:ext xmlns:c16="http://schemas.microsoft.com/office/drawing/2014/chart" uri="{C3380CC4-5D6E-409C-BE32-E72D297353CC}">
              <c16:uniqueId val="{00000011-55B2-4265-BF98-AB5DCB6E604E}"/>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-268.5</c:v>
                </c:pt>
                <c:pt idx="1">
                  <c:v>-268.5</c:v>
                </c:pt>
                <c:pt idx="2">
                  <c:v>-268.5</c:v>
                </c:pt>
              </c:numCache>
            </c:numRef>
          </c:xVal>
          <c:yVal>
            <c:numRef>
              <c:f>Stabilito!$C$143:$C$145</c:f>
              <c:numCache>
                <c:formatCode>0</c:formatCode>
                <c:ptCount val="3"/>
                <c:pt idx="0">
                  <c:v>-1505</c:v>
                </c:pt>
                <c:pt idx="1">
                  <c:v>-1605</c:v>
                </c:pt>
                <c:pt idx="2">
                  <c:v>-1705</c:v>
                </c:pt>
              </c:numCache>
            </c:numRef>
          </c:yVal>
          <c:smooth val="0"/>
          <c:extLst>
            <c:ext xmlns:c16="http://schemas.microsoft.com/office/drawing/2014/chart" uri="{C3380CC4-5D6E-409C-BE32-E72D297353CC}">
              <c16:uniqueId val="{00000013-55B2-4265-BF98-AB5DCB6E604E}"/>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-297.75</c:v>
                </c:pt>
                <c:pt idx="1">
                  <c:v>-297.75</c:v>
                </c:pt>
                <c:pt idx="2">
                  <c:v>-297.75</c:v>
                </c:pt>
              </c:numCache>
            </c:numRef>
          </c:xVal>
          <c:yVal>
            <c:numRef>
              <c:f>Stabilito!$C$146:$C$148</c:f>
              <c:numCache>
                <c:formatCode>0</c:formatCode>
                <c:ptCount val="3"/>
                <c:pt idx="0">
                  <c:v>-1705</c:v>
                </c:pt>
                <c:pt idx="1">
                  <c:v>-1765</c:v>
                </c:pt>
                <c:pt idx="2">
                  <c:v>-1825</c:v>
                </c:pt>
              </c:numCache>
            </c:numRef>
          </c:yVal>
          <c:smooth val="0"/>
          <c:extLst>
            <c:ext xmlns:c16="http://schemas.microsoft.com/office/drawing/2014/chart" uri="{C3380CC4-5D6E-409C-BE32-E72D297353CC}">
              <c16:uniqueId val="{00000015-55B2-4265-BF98-AB5DCB6E604E}"/>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297.75</c:v>
                </c:pt>
                <c:pt idx="1">
                  <c:v>297.75</c:v>
                </c:pt>
                <c:pt idx="2">
                  <c:v>297.75</c:v>
                </c:pt>
              </c:numCache>
            </c:numRef>
          </c:xVal>
          <c:yVal>
            <c:numRef>
              <c:f>Stabilito!$C$140:$C$142</c:f>
              <c:numCache>
                <c:formatCode>0</c:formatCode>
                <c:ptCount val="3"/>
                <c:pt idx="0">
                  <c:v>-1505</c:v>
                </c:pt>
                <c:pt idx="1">
                  <c:v>-1630</c:v>
                </c:pt>
                <c:pt idx="2">
                  <c:v>-1755</c:v>
                </c:pt>
              </c:numCache>
            </c:numRef>
          </c:yVal>
          <c:smooth val="0"/>
          <c:extLst>
            <c:ext xmlns:c16="http://schemas.microsoft.com/office/drawing/2014/chart" uri="{C3380CC4-5D6E-409C-BE32-E72D297353CC}">
              <c16:uniqueId val="{00000017-55B2-4265-BF98-AB5DCB6E604E}"/>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-297.75</c:v>
                </c:pt>
                <c:pt idx="1">
                  <c:v>-297.75</c:v>
                </c:pt>
                <c:pt idx="2">
                  <c:v>-297.75</c:v>
                </c:pt>
              </c:numCache>
            </c:numRef>
          </c:xVal>
          <c:yVal>
            <c:numRef>
              <c:f>Stabilito!$C$155:$C$157</c:f>
              <c:numCache>
                <c:formatCode>0</c:formatCode>
                <c:ptCount val="3"/>
                <c:pt idx="0">
                  <c:v>-1194.0501789683312</c:v>
                </c:pt>
                <c:pt idx="1">
                  <c:v>-1349.0717850446383</c:v>
                </c:pt>
                <c:pt idx="2">
                  <c:v>-1504.0933911209454</c:v>
                </c:pt>
              </c:numCache>
            </c:numRef>
          </c:yVal>
          <c:smooth val="0"/>
          <c:extLst>
            <c:ext xmlns:c16="http://schemas.microsoft.com/office/drawing/2014/chart" uri="{C3380CC4-5D6E-409C-BE32-E72D297353CC}">
              <c16:uniqueId val="{00000019-55B2-4265-BF98-AB5DCB6E604E}"/>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Abaco!$B$75</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Abaco!$B$41</c:f>
              <c:strCache>
                <c:ptCount val="1"/>
                <c:pt idx="0">
                  <c:v>Ø = 75 mm</c:v>
                </c:pt>
              </c:strCache>
            </c:strRef>
          </c:tx>
          <c:xVal>
            <c:numRef>
              <c:f>Abaco!$D$41:$D$49</c:f>
              <c:numCache>
                <c:formatCode>General\ "kg"</c:formatCode>
                <c:ptCount val="9"/>
                <c:pt idx="0">
                  <c:v>3.5110000000000001</c:v>
                </c:pt>
                <c:pt idx="1">
                  <c:v>6.2039999999999997</c:v>
                </c:pt>
                <c:pt idx="2">
                  <c:v>8.8969999999999985</c:v>
                </c:pt>
                <c:pt idx="3">
                  <c:v>11.59</c:v>
                </c:pt>
                <c:pt idx="4">
                  <c:v>14.282999999999998</c:v>
                </c:pt>
                <c:pt idx="5">
                  <c:v>16.975999999999999</c:v>
                </c:pt>
                <c:pt idx="6">
                  <c:v>19.668999999999997</c:v>
                </c:pt>
                <c:pt idx="7">
                  <c:v>22.361999999999998</c:v>
                </c:pt>
                <c:pt idx="8">
                  <c:v>25.054999999999996</c:v>
                </c:pt>
              </c:numCache>
            </c:numRef>
          </c:xVal>
          <c:yVal>
            <c:numRef>
              <c:f>Abaco!$K$41:$K$49</c:f>
              <c:numCache>
                <c:formatCode>General" m/s"</c:formatCode>
                <c:ptCount val="9"/>
                <c:pt idx="0">
                  <c:v>720.40587937186433</c:v>
                </c:pt>
                <c:pt idx="1">
                  <c:v>529.91929332299958</c:v>
                </c:pt>
                <c:pt idx="2">
                  <c:v>381.81903461087825</c:v>
                </c:pt>
                <c:pt idx="3">
                  <c:v>287.86543032187217</c:v>
                </c:pt>
                <c:pt idx="4">
                  <c:v>225.93184953973531</c:v>
                </c:pt>
                <c:pt idx="5">
                  <c:v>182.72378450217491</c:v>
                </c:pt>
                <c:pt idx="6">
                  <c:v>151.08311028781623</c:v>
                </c:pt>
                <c:pt idx="7">
                  <c:v>126.99738569165795</c:v>
                </c:pt>
                <c:pt idx="8">
                  <c:v>108.08646449636817</c:v>
                </c:pt>
              </c:numCache>
            </c:numRef>
          </c:yVal>
          <c:smooth val="0"/>
          <c:extLst>
            <c:ext xmlns:c16="http://schemas.microsoft.com/office/drawing/2014/chart" uri="{C3380CC4-5D6E-409C-BE32-E72D297353CC}">
              <c16:uniqueId val="{00000000-9914-49FC-B9B5-8796295CAF59}"/>
            </c:ext>
          </c:extLst>
        </c:ser>
        <c:ser>
          <c:idx val="1"/>
          <c:order val="1"/>
          <c:tx>
            <c:strRef>
              <c:f>Abaco!$B$50</c:f>
              <c:strCache>
                <c:ptCount val="1"/>
                <c:pt idx="0">
                  <c:v>Ø = 100 mm</c:v>
                </c:pt>
              </c:strCache>
            </c:strRef>
          </c:tx>
          <c:xVal>
            <c:numRef>
              <c:f>Abaco!$D$50:$D$58</c:f>
              <c:numCache>
                <c:formatCode>General\ "kg"</c:formatCode>
                <c:ptCount val="9"/>
                <c:pt idx="0">
                  <c:v>3.5110000000000001</c:v>
                </c:pt>
                <c:pt idx="1">
                  <c:v>6.2039999999999997</c:v>
                </c:pt>
                <c:pt idx="2">
                  <c:v>8.8969999999999985</c:v>
                </c:pt>
                <c:pt idx="3">
                  <c:v>11.59</c:v>
                </c:pt>
                <c:pt idx="4">
                  <c:v>14.282999999999998</c:v>
                </c:pt>
                <c:pt idx="5">
                  <c:v>16.975999999999999</c:v>
                </c:pt>
                <c:pt idx="6">
                  <c:v>19.668999999999997</c:v>
                </c:pt>
                <c:pt idx="7">
                  <c:v>22.361999999999998</c:v>
                </c:pt>
                <c:pt idx="8">
                  <c:v>25.054999999999996</c:v>
                </c:pt>
              </c:numCache>
            </c:numRef>
          </c:xVal>
          <c:yVal>
            <c:numRef>
              <c:f>Abaco!$K$50:$K$58</c:f>
              <c:numCache>
                <c:formatCode>General" m/s"</c:formatCode>
                <c:ptCount val="9"/>
                <c:pt idx="0">
                  <c:v>559.24790560645113</c:v>
                </c:pt>
                <c:pt idx="1">
                  <c:v>463.14685860585621</c:v>
                </c:pt>
                <c:pt idx="2">
                  <c:v>355.46497765953785</c:v>
                </c:pt>
                <c:pt idx="3">
                  <c:v>276.01840672003414</c:v>
                </c:pt>
                <c:pt idx="4">
                  <c:v>219.94277577395266</c:v>
                </c:pt>
                <c:pt idx="5">
                  <c:v>179.41374357023179</c:v>
                </c:pt>
                <c:pt idx="6">
                  <c:v>149.12745507345124</c:v>
                </c:pt>
                <c:pt idx="7">
                  <c:v>125.78201930051709</c:v>
                </c:pt>
                <c:pt idx="8">
                  <c:v>107.30123292080982</c:v>
                </c:pt>
              </c:numCache>
            </c:numRef>
          </c:yVal>
          <c:smooth val="0"/>
          <c:extLst>
            <c:ext xmlns:c16="http://schemas.microsoft.com/office/drawing/2014/chart" uri="{C3380CC4-5D6E-409C-BE32-E72D297353CC}">
              <c16:uniqueId val="{00000001-9914-49FC-B9B5-8796295CAF59}"/>
            </c:ext>
          </c:extLst>
        </c:ser>
        <c:ser>
          <c:idx val="2"/>
          <c:order val="2"/>
          <c:tx>
            <c:strRef>
              <c:f>Abaco!$B$59</c:f>
              <c:strCache>
                <c:ptCount val="1"/>
                <c:pt idx="0">
                  <c:v>Ø = 150 mm</c:v>
                </c:pt>
              </c:strCache>
            </c:strRef>
          </c:tx>
          <c:xVal>
            <c:numRef>
              <c:f>Abaco!$D$59:$D$67</c:f>
              <c:numCache>
                <c:formatCode>General\ "kg"</c:formatCode>
                <c:ptCount val="9"/>
                <c:pt idx="0">
                  <c:v>3.5110000000000001</c:v>
                </c:pt>
                <c:pt idx="1">
                  <c:v>6.2039999999999997</c:v>
                </c:pt>
                <c:pt idx="2">
                  <c:v>8.8969999999999985</c:v>
                </c:pt>
                <c:pt idx="3">
                  <c:v>11.59</c:v>
                </c:pt>
                <c:pt idx="4">
                  <c:v>14.282999999999998</c:v>
                </c:pt>
                <c:pt idx="5">
                  <c:v>16.975999999999999</c:v>
                </c:pt>
                <c:pt idx="6">
                  <c:v>19.668999999999997</c:v>
                </c:pt>
                <c:pt idx="7">
                  <c:v>22.361999999999998</c:v>
                </c:pt>
                <c:pt idx="8">
                  <c:v>25.054999999999996</c:v>
                </c:pt>
              </c:numCache>
            </c:numRef>
          </c:xVal>
          <c:yVal>
            <c:numRef>
              <c:f>Abaco!$K$59:$K$67</c:f>
              <c:numCache>
                <c:formatCode>General" m/s"</c:formatCode>
                <c:ptCount val="9"/>
                <c:pt idx="0">
                  <c:v>377.65613998433196</c:v>
                </c:pt>
                <c:pt idx="1">
                  <c:v>351.30437347746033</c:v>
                </c:pt>
                <c:pt idx="2">
                  <c:v>299.78834175366626</c:v>
                </c:pt>
                <c:pt idx="3">
                  <c:v>247.84980626143965</c:v>
                </c:pt>
                <c:pt idx="4">
                  <c:v>204.76230960216196</c:v>
                </c:pt>
                <c:pt idx="5">
                  <c:v>170.70482863871976</c:v>
                </c:pt>
                <c:pt idx="6">
                  <c:v>143.86095540137725</c:v>
                </c:pt>
                <c:pt idx="7">
                  <c:v>122.45865910337861</c:v>
                </c:pt>
                <c:pt idx="8">
                  <c:v>105.13139126247842</c:v>
                </c:pt>
              </c:numCache>
            </c:numRef>
          </c:yVal>
          <c:smooth val="0"/>
          <c:extLst>
            <c:ext xmlns:c16="http://schemas.microsoft.com/office/drawing/2014/chart" uri="{C3380CC4-5D6E-409C-BE32-E72D297353CC}">
              <c16:uniqueId val="{00000002-9914-49FC-B9B5-8796295CAF59}"/>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Abaco!$B$73</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Abaco!$B$74</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Abaco!$B$41</c:f>
              <c:strCache>
                <c:ptCount val="1"/>
                <c:pt idx="0">
                  <c:v>Ø = 75 mm</c:v>
                </c:pt>
              </c:strCache>
            </c:strRef>
          </c:tx>
          <c:xVal>
            <c:numRef>
              <c:f>Abaco!$D$41:$D$49</c:f>
              <c:numCache>
                <c:formatCode>General\ "kg"</c:formatCode>
                <c:ptCount val="9"/>
                <c:pt idx="0">
                  <c:v>3.5110000000000001</c:v>
                </c:pt>
                <c:pt idx="1">
                  <c:v>6.2039999999999997</c:v>
                </c:pt>
                <c:pt idx="2">
                  <c:v>8.8969999999999985</c:v>
                </c:pt>
                <c:pt idx="3">
                  <c:v>11.59</c:v>
                </c:pt>
                <c:pt idx="4">
                  <c:v>14.282999999999998</c:v>
                </c:pt>
                <c:pt idx="5">
                  <c:v>16.975999999999999</c:v>
                </c:pt>
                <c:pt idx="6">
                  <c:v>19.668999999999997</c:v>
                </c:pt>
                <c:pt idx="7">
                  <c:v>22.361999999999998</c:v>
                </c:pt>
                <c:pt idx="8">
                  <c:v>25.054999999999996</c:v>
                </c:pt>
              </c:numCache>
            </c:numRef>
          </c:xVal>
          <c:yVal>
            <c:numRef>
              <c:f>Abaco!$L$41:$L$49</c:f>
              <c:numCache>
                <c:formatCode>General" m"</c:formatCode>
                <c:ptCount val="9"/>
                <c:pt idx="0">
                  <c:v>4565.8665325686015</c:v>
                </c:pt>
                <c:pt idx="1">
                  <c:v>5058.5728824722164</c:v>
                </c:pt>
                <c:pt idx="2">
                  <c:v>4448.215459037765</c:v>
                </c:pt>
                <c:pt idx="3">
                  <c:v>3485.4630390733073</c:v>
                </c:pt>
                <c:pt idx="4">
                  <c:v>2599.0515972211324</c:v>
                </c:pt>
                <c:pt idx="5">
                  <c:v>1918.0937880898568</c:v>
                </c:pt>
                <c:pt idx="6">
                  <c:v>1427.7946488031794</c:v>
                </c:pt>
                <c:pt idx="7">
                  <c:v>1079.4431403411058</c:v>
                </c:pt>
                <c:pt idx="8">
                  <c:v>829.78912889657579</c:v>
                </c:pt>
              </c:numCache>
            </c:numRef>
          </c:yVal>
          <c:smooth val="0"/>
          <c:extLst>
            <c:ext xmlns:c16="http://schemas.microsoft.com/office/drawing/2014/chart" uri="{C3380CC4-5D6E-409C-BE32-E72D297353CC}">
              <c16:uniqueId val="{00000000-7A95-4EBD-989B-939CDF0A10EC}"/>
            </c:ext>
          </c:extLst>
        </c:ser>
        <c:ser>
          <c:idx val="1"/>
          <c:order val="1"/>
          <c:tx>
            <c:strRef>
              <c:f>Abaco!$B$50</c:f>
              <c:strCache>
                <c:ptCount val="1"/>
                <c:pt idx="0">
                  <c:v>Ø = 100 mm</c:v>
                </c:pt>
              </c:strCache>
            </c:strRef>
          </c:tx>
          <c:xVal>
            <c:numRef>
              <c:f>Abaco!$D$50:$D$58</c:f>
              <c:numCache>
                <c:formatCode>General\ "kg"</c:formatCode>
                <c:ptCount val="9"/>
                <c:pt idx="0">
                  <c:v>3.5110000000000001</c:v>
                </c:pt>
                <c:pt idx="1">
                  <c:v>6.2039999999999997</c:v>
                </c:pt>
                <c:pt idx="2">
                  <c:v>8.8969999999999985</c:v>
                </c:pt>
                <c:pt idx="3">
                  <c:v>11.59</c:v>
                </c:pt>
                <c:pt idx="4">
                  <c:v>14.282999999999998</c:v>
                </c:pt>
                <c:pt idx="5">
                  <c:v>16.975999999999999</c:v>
                </c:pt>
                <c:pt idx="6">
                  <c:v>19.668999999999997</c:v>
                </c:pt>
                <c:pt idx="7">
                  <c:v>22.361999999999998</c:v>
                </c:pt>
                <c:pt idx="8">
                  <c:v>25.054999999999996</c:v>
                </c:pt>
              </c:numCache>
            </c:numRef>
          </c:xVal>
          <c:yVal>
            <c:numRef>
              <c:f>Abaco!$L$50:$L$58</c:f>
              <c:numCache>
                <c:formatCode>General" m"</c:formatCode>
                <c:ptCount val="9"/>
                <c:pt idx="0">
                  <c:v>3236.6715266317624</c:v>
                </c:pt>
                <c:pt idx="1">
                  <c:v>3603.1433740961584</c:v>
                </c:pt>
                <c:pt idx="2">
                  <c:v>3371.2618126155899</c:v>
                </c:pt>
                <c:pt idx="3">
                  <c:v>2844.6618807493915</c:v>
                </c:pt>
                <c:pt idx="4">
                  <c:v>2261.392253556754</c:v>
                </c:pt>
                <c:pt idx="5">
                  <c:v>1748.6532429832432</c:v>
                </c:pt>
                <c:pt idx="6">
                  <c:v>1342.9813903180216</c:v>
                </c:pt>
                <c:pt idx="7">
                  <c:v>1036.0884017575702</c:v>
                </c:pt>
                <c:pt idx="8">
                  <c:v>806.9510091130004</c:v>
                </c:pt>
              </c:numCache>
            </c:numRef>
          </c:yVal>
          <c:smooth val="0"/>
          <c:extLst>
            <c:ext xmlns:c16="http://schemas.microsoft.com/office/drawing/2014/chart" uri="{C3380CC4-5D6E-409C-BE32-E72D297353CC}">
              <c16:uniqueId val="{00000001-7A95-4EBD-989B-939CDF0A10EC}"/>
            </c:ext>
          </c:extLst>
        </c:ser>
        <c:ser>
          <c:idx val="2"/>
          <c:order val="2"/>
          <c:tx>
            <c:strRef>
              <c:f>Abaco!$B$59</c:f>
              <c:strCache>
                <c:ptCount val="1"/>
                <c:pt idx="0">
                  <c:v>Ø = 150 mm</c:v>
                </c:pt>
              </c:strCache>
            </c:strRef>
          </c:tx>
          <c:xVal>
            <c:numRef>
              <c:f>Abaco!$D$59:$D$67</c:f>
              <c:numCache>
                <c:formatCode>General\ "kg"</c:formatCode>
                <c:ptCount val="9"/>
                <c:pt idx="0">
                  <c:v>3.5110000000000001</c:v>
                </c:pt>
                <c:pt idx="1">
                  <c:v>6.2039999999999997</c:v>
                </c:pt>
                <c:pt idx="2">
                  <c:v>8.8969999999999985</c:v>
                </c:pt>
                <c:pt idx="3">
                  <c:v>11.59</c:v>
                </c:pt>
                <c:pt idx="4">
                  <c:v>14.282999999999998</c:v>
                </c:pt>
                <c:pt idx="5">
                  <c:v>16.975999999999999</c:v>
                </c:pt>
                <c:pt idx="6">
                  <c:v>19.668999999999997</c:v>
                </c:pt>
                <c:pt idx="7">
                  <c:v>22.361999999999998</c:v>
                </c:pt>
                <c:pt idx="8">
                  <c:v>25.054999999999996</c:v>
                </c:pt>
              </c:numCache>
            </c:numRef>
          </c:xVal>
          <c:yVal>
            <c:numRef>
              <c:f>Abaco!$L$59:$L$67</c:f>
              <c:numCache>
                <c:formatCode>General" m"</c:formatCode>
                <c:ptCount val="9"/>
                <c:pt idx="0">
                  <c:v>2029.1215603003384</c:v>
                </c:pt>
                <c:pt idx="1">
                  <c:v>2218.3521472492475</c:v>
                </c:pt>
                <c:pt idx="2">
                  <c:v>2180.2023122296641</c:v>
                </c:pt>
                <c:pt idx="3">
                  <c:v>1989.0557209180747</c:v>
                </c:pt>
                <c:pt idx="4">
                  <c:v>1718.115458556355</c:v>
                </c:pt>
                <c:pt idx="5">
                  <c:v>1429.4484345303781</c:v>
                </c:pt>
                <c:pt idx="6">
                  <c:v>1162.760530840942</c:v>
                </c:pt>
                <c:pt idx="7">
                  <c:v>935.6248911366481</c:v>
                </c:pt>
                <c:pt idx="8">
                  <c:v>750.72029865114962</c:v>
                </c:pt>
              </c:numCache>
            </c:numRef>
          </c:yVal>
          <c:smooth val="0"/>
          <c:extLst>
            <c:ext xmlns:c16="http://schemas.microsoft.com/office/drawing/2014/chart" uri="{C3380CC4-5D6E-409C-BE32-E72D297353CC}">
              <c16:uniqueId val="{00000002-7A95-4EBD-989B-939CDF0A10EC}"/>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Abaco!$B$73</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Abaco!$B$76</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Abaco!$B$41</c:f>
              <c:strCache>
                <c:ptCount val="1"/>
                <c:pt idx="0">
                  <c:v>Ø = 75 mm</c:v>
                </c:pt>
              </c:strCache>
            </c:strRef>
          </c:tx>
          <c:xVal>
            <c:numRef>
              <c:f>Abaco!$D$41:$D$49</c:f>
              <c:numCache>
                <c:formatCode>General\ "kg"</c:formatCode>
                <c:ptCount val="9"/>
                <c:pt idx="0">
                  <c:v>3.5110000000000001</c:v>
                </c:pt>
                <c:pt idx="1">
                  <c:v>6.2039999999999997</c:v>
                </c:pt>
                <c:pt idx="2">
                  <c:v>8.8969999999999985</c:v>
                </c:pt>
                <c:pt idx="3">
                  <c:v>11.59</c:v>
                </c:pt>
                <c:pt idx="4">
                  <c:v>14.282999999999998</c:v>
                </c:pt>
                <c:pt idx="5">
                  <c:v>16.975999999999999</c:v>
                </c:pt>
                <c:pt idx="6">
                  <c:v>19.668999999999997</c:v>
                </c:pt>
                <c:pt idx="7">
                  <c:v>22.361999999999998</c:v>
                </c:pt>
                <c:pt idx="8">
                  <c:v>25.054999999999996</c:v>
                </c:pt>
              </c:numCache>
            </c:numRef>
          </c:xVal>
          <c:yVal>
            <c:numRef>
              <c:f>Abaco!$M$41:$M$49</c:f>
              <c:numCache>
                <c:formatCode>General" s"</c:formatCode>
                <c:ptCount val="9"/>
                <c:pt idx="0">
                  <c:v>20.462214926687707</c:v>
                </c:pt>
                <c:pt idx="1">
                  <c:v>27.225395820365943</c:v>
                </c:pt>
                <c:pt idx="2">
                  <c:v>28.535313436150794</c:v>
                </c:pt>
                <c:pt idx="3">
                  <c:v>27.027243920923425</c:v>
                </c:pt>
                <c:pt idx="4">
                  <c:v>24.419111882460353</c:v>
                </c:pt>
                <c:pt idx="5">
                  <c:v>21.698489420367736</c:v>
                </c:pt>
                <c:pt idx="6">
                  <c:v>19.258460621245611</c:v>
                </c:pt>
                <c:pt idx="7">
                  <c:v>17.185558572657282</c:v>
                </c:pt>
                <c:pt idx="8">
                  <c:v>15.452866406113852</c:v>
                </c:pt>
              </c:numCache>
            </c:numRef>
          </c:yVal>
          <c:smooth val="0"/>
          <c:extLst>
            <c:ext xmlns:c16="http://schemas.microsoft.com/office/drawing/2014/chart" uri="{C3380CC4-5D6E-409C-BE32-E72D297353CC}">
              <c16:uniqueId val="{00000000-87A6-4A45-A9F0-37CCA993CBDF}"/>
            </c:ext>
          </c:extLst>
        </c:ser>
        <c:ser>
          <c:idx val="1"/>
          <c:order val="1"/>
          <c:tx>
            <c:strRef>
              <c:f>Abaco!$B$50</c:f>
              <c:strCache>
                <c:ptCount val="1"/>
                <c:pt idx="0">
                  <c:v>Ø = 100 mm</c:v>
                </c:pt>
              </c:strCache>
            </c:strRef>
          </c:tx>
          <c:xVal>
            <c:numRef>
              <c:f>Abaco!$D$50:$D$58</c:f>
              <c:numCache>
                <c:formatCode>General\ "kg"</c:formatCode>
                <c:ptCount val="9"/>
                <c:pt idx="0">
                  <c:v>3.5110000000000001</c:v>
                </c:pt>
                <c:pt idx="1">
                  <c:v>6.2039999999999997</c:v>
                </c:pt>
                <c:pt idx="2">
                  <c:v>8.8969999999999985</c:v>
                </c:pt>
                <c:pt idx="3">
                  <c:v>11.59</c:v>
                </c:pt>
                <c:pt idx="4">
                  <c:v>14.282999999999998</c:v>
                </c:pt>
                <c:pt idx="5">
                  <c:v>16.975999999999999</c:v>
                </c:pt>
                <c:pt idx="6">
                  <c:v>19.668999999999997</c:v>
                </c:pt>
                <c:pt idx="7">
                  <c:v>22.361999999999998</c:v>
                </c:pt>
                <c:pt idx="8">
                  <c:v>25.054999999999996</c:v>
                </c:pt>
              </c:numCache>
            </c:numRef>
          </c:xVal>
          <c:yVal>
            <c:numRef>
              <c:f>Abaco!$M$50:$M$58</c:f>
              <c:numCache>
                <c:formatCode>General" s"</c:formatCode>
                <c:ptCount val="9"/>
                <c:pt idx="0">
                  <c:v>16.558431169977993</c:v>
                </c:pt>
                <c:pt idx="1">
                  <c:v>22.175157969350586</c:v>
                </c:pt>
                <c:pt idx="2">
                  <c:v>24.114358525514266</c:v>
                </c:pt>
                <c:pt idx="3">
                  <c:v>23.87641671033397</c:v>
                </c:pt>
                <c:pt idx="4">
                  <c:v>22.432389041855107</c:v>
                </c:pt>
                <c:pt idx="5">
                  <c:v>20.515647896051945</c:v>
                </c:pt>
                <c:pt idx="6">
                  <c:v>18.563865004217803</c:v>
                </c:pt>
                <c:pt idx="7">
                  <c:v>16.773717536972732</c:v>
                </c:pt>
                <c:pt idx="8">
                  <c:v>15.203818685928638</c:v>
                </c:pt>
              </c:numCache>
            </c:numRef>
          </c:yVal>
          <c:smooth val="0"/>
          <c:extLst>
            <c:ext xmlns:c16="http://schemas.microsoft.com/office/drawing/2014/chart" uri="{C3380CC4-5D6E-409C-BE32-E72D297353CC}">
              <c16:uniqueId val="{00000001-87A6-4A45-A9F0-37CCA993CBDF}"/>
            </c:ext>
          </c:extLst>
        </c:ser>
        <c:ser>
          <c:idx val="2"/>
          <c:order val="2"/>
          <c:tx>
            <c:strRef>
              <c:f>Abaco!$B$59</c:f>
              <c:strCache>
                <c:ptCount val="1"/>
                <c:pt idx="0">
                  <c:v>Ø = 150 mm</c:v>
                </c:pt>
              </c:strCache>
            </c:strRef>
          </c:tx>
          <c:xVal>
            <c:numRef>
              <c:f>Abaco!$D$59:$D$67</c:f>
              <c:numCache>
                <c:formatCode>General\ "kg"</c:formatCode>
                <c:ptCount val="9"/>
                <c:pt idx="0">
                  <c:v>3.5110000000000001</c:v>
                </c:pt>
                <c:pt idx="1">
                  <c:v>6.2039999999999997</c:v>
                </c:pt>
                <c:pt idx="2">
                  <c:v>8.8969999999999985</c:v>
                </c:pt>
                <c:pt idx="3">
                  <c:v>11.59</c:v>
                </c:pt>
                <c:pt idx="4">
                  <c:v>14.282999999999998</c:v>
                </c:pt>
                <c:pt idx="5">
                  <c:v>16.975999999999999</c:v>
                </c:pt>
                <c:pt idx="6">
                  <c:v>19.668999999999997</c:v>
                </c:pt>
                <c:pt idx="7">
                  <c:v>22.361999999999998</c:v>
                </c:pt>
                <c:pt idx="8">
                  <c:v>25.054999999999996</c:v>
                </c:pt>
              </c:numCache>
            </c:numRef>
          </c:xVal>
          <c:yVal>
            <c:numRef>
              <c:f>Abaco!$M$59:$M$67</c:f>
              <c:numCache>
                <c:formatCode>General" s"</c:formatCode>
                <c:ptCount val="9"/>
                <c:pt idx="0">
                  <c:v>12.609110000633915</c:v>
                </c:pt>
                <c:pt idx="1">
                  <c:v>16.636005347436605</c:v>
                </c:pt>
                <c:pt idx="2">
                  <c:v>18.607036572411523</c:v>
                </c:pt>
                <c:pt idx="3">
                  <c:v>19.279870684921512</c:v>
                </c:pt>
                <c:pt idx="4">
                  <c:v>19.030225488264968</c:v>
                </c:pt>
                <c:pt idx="5">
                  <c:v>18.190003855394323</c:v>
                </c:pt>
                <c:pt idx="6">
                  <c:v>17.044416883732175</c:v>
                </c:pt>
                <c:pt idx="7">
                  <c:v>15.8003484428333</c:v>
                </c:pt>
                <c:pt idx="8">
                  <c:v>14.58229005791493</c:v>
                </c:pt>
              </c:numCache>
            </c:numRef>
          </c:yVal>
          <c:smooth val="0"/>
          <c:extLst>
            <c:ext xmlns:c16="http://schemas.microsoft.com/office/drawing/2014/chart" uri="{C3380CC4-5D6E-409C-BE32-E72D297353CC}">
              <c16:uniqueId val="{00000002-87A6-4A45-A9F0-37CCA993CBDF}"/>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Abaco!$B$73</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Abaco!$B$78</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B31D-4594-A6FE-3479B8181EFE}"/>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B31D-4594-A6FE-3479B8181EFE}"/>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B31D-4594-A6FE-3479B8181EFE}"/>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B31D-4594-A6FE-3479B8181EFE}"/>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B31D-4594-A6FE-3479B8181EFE}"/>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B31D-4594-A6FE-3479B8181EFE}"/>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B31D-4594-A6FE-3479B8181EFE}"/>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B31D-4594-A6FE-3479B8181EFE}"/>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B31D-4594-A6FE-3479B8181EFE}"/>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B31D-4594-A6FE-3479B8181EFE}"/>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2.8773324269274396</c:v>
                </c:pt>
                <c:pt idx="1">
                  <c:v>2.8773324269274396</c:v>
                </c:pt>
                <c:pt idx="2">
                  <c:v>3.3235318161248437</c:v>
                </c:pt>
                <c:pt idx="3">
                  <c:v>3.3235318161248437</c:v>
                </c:pt>
              </c:numCache>
            </c:numRef>
          </c:xVal>
          <c:yVal>
            <c:numRef>
              <c:f>Stabilito!$C$190:$C$193</c:f>
              <c:numCache>
                <c:formatCode>0.00</c:formatCode>
                <c:ptCount val="4"/>
                <c:pt idx="0">
                  <c:v>22.203078547045632</c:v>
                </c:pt>
                <c:pt idx="1">
                  <c:v>22.203078547045632</c:v>
                </c:pt>
                <c:pt idx="2">
                  <c:v>22.203078547045632</c:v>
                </c:pt>
                <c:pt idx="3">
                  <c:v>22.203078547045632</c:v>
                </c:pt>
              </c:numCache>
            </c:numRef>
          </c:yVal>
          <c:smooth val="0"/>
          <c:extLst>
            <c:ext xmlns:c16="http://schemas.microsoft.com/office/drawing/2014/chart" uri="{C3380CC4-5D6E-409C-BE32-E72D297353CC}">
              <c16:uniqueId val="{0000000A-B31D-4594-A6FE-3479B8181EFE}"/>
            </c:ext>
          </c:extLst>
        </c:ser>
        <c:ser>
          <c:idx val="11"/>
          <c:order val="5"/>
          <c:tx>
            <c:v>Fusée en cours0</c:v>
          </c:tx>
          <c:spPr>
            <a:ln w="25400">
              <a:solidFill>
                <a:schemeClr val="tx1"/>
              </a:solidFill>
            </a:ln>
          </c:spPr>
          <c:marker>
            <c:symbol val="none"/>
          </c:marker>
          <c:xVal>
            <c:numRef>
              <c:f>Stabilito!$B$193:$B$194</c:f>
              <c:numCache>
                <c:formatCode>0.00</c:formatCode>
                <c:ptCount val="2"/>
                <c:pt idx="0">
                  <c:v>3.3235318161248437</c:v>
                </c:pt>
                <c:pt idx="1">
                  <c:v>2.8773324269274396</c:v>
                </c:pt>
              </c:numCache>
            </c:numRef>
          </c:xVal>
          <c:yVal>
            <c:numRef>
              <c:f>Stabilito!$C$193:$C$194</c:f>
              <c:numCache>
                <c:formatCode>0.00</c:formatCode>
                <c:ptCount val="2"/>
                <c:pt idx="0">
                  <c:v>22.203078547045632</c:v>
                </c:pt>
                <c:pt idx="1">
                  <c:v>22.203078547045632</c:v>
                </c:pt>
              </c:numCache>
            </c:numRef>
          </c:yVal>
          <c:smooth val="0"/>
          <c:extLst>
            <c:ext xmlns:c16="http://schemas.microsoft.com/office/drawing/2014/chart" uri="{C3380CC4-5D6E-409C-BE32-E72D297353CC}">
              <c16:uniqueId val="{0000000B-B31D-4594-A6FE-3479B8181EFE}"/>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Trajecto!$B$110</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Trajecto!$B$120</c:f>
              <c:numCache>
                <c:formatCode>0</c:formatCode>
                <c:ptCount val="1"/>
                <c:pt idx="0">
                  <c:v>2136.2366360495694</c:v>
                </c:pt>
              </c:numCache>
            </c:numRef>
          </c:xVal>
          <c:yVal>
            <c:numRef>
              <c:f>Trajecto!$C$118</c:f>
              <c:numCache>
                <c:formatCode>0</c:formatCode>
                <c:ptCount val="1"/>
                <c:pt idx="0">
                  <c:v>2136.2366360495694</c:v>
                </c:pt>
              </c:numCache>
            </c:numRef>
          </c:yVal>
          <c:smooth val="1"/>
          <c:extLst>
            <c:ext xmlns:c16="http://schemas.microsoft.com/office/drawing/2014/chart" uri="{C3380CC4-5D6E-409C-BE32-E72D297353CC}">
              <c16:uniqueId val="{00000000-3E62-4C97-96C4-8569A9DB8ECB}"/>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5.9199871170373131</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26.151586837558277</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60.81330063097829</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107.8134996094672</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162.75762734612161</c:v>
                </c:pt>
                <c:pt idx="501">
                  <c:v>#N/A</c:v>
                </c:pt>
                <c:pt idx="502">
                  <c:v>#N/A</c:v>
                </c:pt>
                <c:pt idx="503">
                  <c:v>#N/A</c:v>
                </c:pt>
                <c:pt idx="504">
                  <c:v>#N/A</c:v>
                </c:pt>
                <c:pt idx="505">
                  <c:v>#N/A</c:v>
                </c:pt>
                <c:pt idx="506">
                  <c:v>#N/A</c:v>
                </c:pt>
                <c:pt idx="507">
                  <c:v>#N/A</c:v>
                </c:pt>
                <c:pt idx="508">
                  <c:v>#N/A</c:v>
                </c:pt>
                <c:pt idx="509">
                  <c:v>#N/A</c:v>
                </c:pt>
                <c:pt idx="510">
                  <c:v>216.41707985782929</c:v>
                </c:pt>
                <c:pt idx="511">
                  <c:v>#N/A</c:v>
                </c:pt>
                <c:pt idx="512">
                  <c:v>#N/A</c:v>
                </c:pt>
                <c:pt idx="513">
                  <c:v>#N/A</c:v>
                </c:pt>
                <c:pt idx="514">
                  <c:v>#N/A</c:v>
                </c:pt>
                <c:pt idx="515">
                  <c:v>#N/A</c:v>
                </c:pt>
                <c:pt idx="516">
                  <c:v>#N/A</c:v>
                </c:pt>
                <c:pt idx="517">
                  <c:v>#N/A</c:v>
                </c:pt>
                <c:pt idx="518">
                  <c:v>#N/A</c:v>
                </c:pt>
                <c:pt idx="519">
                  <c:v>#N/A</c:v>
                </c:pt>
                <c:pt idx="520">
                  <c:v>267.9815172729663</c:v>
                </c:pt>
                <c:pt idx="521">
                  <c:v>#N/A</c:v>
                </c:pt>
                <c:pt idx="522">
                  <c:v>#N/A</c:v>
                </c:pt>
                <c:pt idx="523">
                  <c:v>#N/A</c:v>
                </c:pt>
                <c:pt idx="524">
                  <c:v>#N/A</c:v>
                </c:pt>
                <c:pt idx="525">
                  <c:v>#N/A</c:v>
                </c:pt>
                <c:pt idx="526">
                  <c:v>#N/A</c:v>
                </c:pt>
                <c:pt idx="527">
                  <c:v>#N/A</c:v>
                </c:pt>
                <c:pt idx="528">
                  <c:v>#N/A</c:v>
                </c:pt>
                <c:pt idx="529">
                  <c:v>#N/A</c:v>
                </c:pt>
                <c:pt idx="530">
                  <c:v>317.73404123913588</c:v>
                </c:pt>
                <c:pt idx="531">
                  <c:v>#N/A</c:v>
                </c:pt>
                <c:pt idx="532">
                  <c:v>#N/A</c:v>
                </c:pt>
                <c:pt idx="533">
                  <c:v>#N/A</c:v>
                </c:pt>
                <c:pt idx="534">
                  <c:v>#N/A</c:v>
                </c:pt>
                <c:pt idx="535">
                  <c:v>#N/A</c:v>
                </c:pt>
                <c:pt idx="536">
                  <c:v>#N/A</c:v>
                </c:pt>
                <c:pt idx="537">
                  <c:v>#N/A</c:v>
                </c:pt>
                <c:pt idx="538">
                  <c:v>#N/A</c:v>
                </c:pt>
                <c:pt idx="539">
                  <c:v>#N/A</c:v>
                </c:pt>
                <c:pt idx="540">
                  <c:v>365.9120232834548</c:v>
                </c:pt>
                <c:pt idx="541">
                  <c:v>#N/A</c:v>
                </c:pt>
                <c:pt idx="542">
                  <c:v>#N/A</c:v>
                </c:pt>
                <c:pt idx="543">
                  <c:v>#N/A</c:v>
                </c:pt>
                <c:pt idx="544">
                  <c:v>#N/A</c:v>
                </c:pt>
                <c:pt idx="545">
                  <c:v>#N/A</c:v>
                </c:pt>
                <c:pt idx="546">
                  <c:v>#N/A</c:v>
                </c:pt>
                <c:pt idx="547">
                  <c:v>#N/A</c:v>
                </c:pt>
                <c:pt idx="548">
                  <c:v>#N/A</c:v>
                </c:pt>
                <c:pt idx="549">
                  <c:v>#N/A</c:v>
                </c:pt>
                <c:pt idx="550">
                  <c:v>412.71703381902961</c:v>
                </c:pt>
                <c:pt idx="551">
                  <c:v>#N/A</c:v>
                </c:pt>
                <c:pt idx="552">
                  <c:v>#N/A</c:v>
                </c:pt>
                <c:pt idx="553">
                  <c:v>#N/A</c:v>
                </c:pt>
                <c:pt idx="554">
                  <c:v>#N/A</c:v>
                </c:pt>
                <c:pt idx="555">
                  <c:v>#N/A</c:v>
                </c:pt>
                <c:pt idx="556">
                  <c:v>#N/A</c:v>
                </c:pt>
                <c:pt idx="557">
                  <c:v>#N/A</c:v>
                </c:pt>
                <c:pt idx="558">
                  <c:v>#N/A</c:v>
                </c:pt>
                <c:pt idx="559">
                  <c:v>#N/A</c:v>
                </c:pt>
                <c:pt idx="560">
                  <c:v>458.32219940181784</c:v>
                </c:pt>
                <c:pt idx="561">
                  <c:v>#N/A</c:v>
                </c:pt>
                <c:pt idx="562">
                  <c:v>#N/A</c:v>
                </c:pt>
                <c:pt idx="563">
                  <c:v>#N/A</c:v>
                </c:pt>
                <c:pt idx="564">
                  <c:v>#N/A</c:v>
                </c:pt>
                <c:pt idx="565">
                  <c:v>#N/A</c:v>
                </c:pt>
                <c:pt idx="566">
                  <c:v>#N/A</c:v>
                </c:pt>
                <c:pt idx="567">
                  <c:v>#N/A</c:v>
                </c:pt>
                <c:pt idx="568">
                  <c:v>#N/A</c:v>
                </c:pt>
                <c:pt idx="569">
                  <c:v>#N/A</c:v>
                </c:pt>
                <c:pt idx="570">
                  <c:v>502.87773516104147</c:v>
                </c:pt>
                <c:pt idx="571">
                  <c:v>#N/A</c:v>
                </c:pt>
                <c:pt idx="572">
                  <c:v>#N/A</c:v>
                </c:pt>
                <c:pt idx="573">
                  <c:v>#N/A</c:v>
                </c:pt>
                <c:pt idx="574">
                  <c:v>#N/A</c:v>
                </c:pt>
                <c:pt idx="575">
                  <c:v>#N/A</c:v>
                </c:pt>
                <c:pt idx="576">
                  <c:v>#N/A</c:v>
                </c:pt>
                <c:pt idx="577">
                  <c:v>#N/A</c:v>
                </c:pt>
                <c:pt idx="578">
                  <c:v>#N/A</c:v>
                </c:pt>
                <c:pt idx="579">
                  <c:v>#N/A</c:v>
                </c:pt>
                <c:pt idx="580">
                  <c:v>546.51514612428514</c:v>
                </c:pt>
                <c:pt idx="581">
                  <c:v>#N/A</c:v>
                </c:pt>
                <c:pt idx="582">
                  <c:v>#N/A</c:v>
                </c:pt>
                <c:pt idx="583">
                  <c:v>#N/A</c:v>
                </c:pt>
                <c:pt idx="584">
                  <c:v>#N/A</c:v>
                </c:pt>
                <c:pt idx="585">
                  <c:v>#N/A</c:v>
                </c:pt>
                <c:pt idx="586">
                  <c:v>#N/A</c:v>
                </c:pt>
                <c:pt idx="587">
                  <c:v>#N/A</c:v>
                </c:pt>
                <c:pt idx="588">
                  <c:v>#N/A</c:v>
                </c:pt>
                <c:pt idx="589">
                  <c:v>#N/A</c:v>
                </c:pt>
                <c:pt idx="590">
                  <c:v>589.35042512932534</c:v>
                </c:pt>
                <c:pt idx="591">
                  <c:v>#N/A</c:v>
                </c:pt>
                <c:pt idx="592">
                  <c:v>#N/A</c:v>
                </c:pt>
                <c:pt idx="593">
                  <c:v>#N/A</c:v>
                </c:pt>
                <c:pt idx="594">
                  <c:v>#N/A</c:v>
                </c:pt>
                <c:pt idx="595">
                  <c:v>#N/A</c:v>
                </c:pt>
                <c:pt idx="596">
                  <c:v>#N/A</c:v>
                </c:pt>
                <c:pt idx="597">
                  <c:v>#N/A</c:v>
                </c:pt>
                <c:pt idx="598">
                  <c:v>#N/A</c:v>
                </c:pt>
                <c:pt idx="599">
                  <c:v>#N/A</c:v>
                </c:pt>
                <c:pt idx="600">
                  <c:v>631.48645952389825</c:v>
                </c:pt>
                <c:pt idx="601">
                  <c:v>#N/A</c:v>
                </c:pt>
                <c:pt idx="602">
                  <c:v>#N/A</c:v>
                </c:pt>
                <c:pt idx="603">
                  <c:v>#N/A</c:v>
                </c:pt>
                <c:pt idx="604">
                  <c:v>#N/A</c:v>
                </c:pt>
                <c:pt idx="605">
                  <c:v>#N/A</c:v>
                </c:pt>
                <c:pt idx="606">
                  <c:v>#N/A</c:v>
                </c:pt>
                <c:pt idx="607">
                  <c:v>#N/A</c:v>
                </c:pt>
                <c:pt idx="608">
                  <c:v>#N/A</c:v>
                </c:pt>
                <c:pt idx="609">
                  <c:v>#N/A</c:v>
                </c:pt>
                <c:pt idx="610">
                  <c:v>673.01477075885498</c:v>
                </c:pt>
                <c:pt idx="611">
                  <c:v>#N/A</c:v>
                </c:pt>
                <c:pt idx="612">
                  <c:v>#N/A</c:v>
                </c:pt>
                <c:pt idx="613">
                  <c:v>#N/A</c:v>
                </c:pt>
                <c:pt idx="614">
                  <c:v>#N/A</c:v>
                </c:pt>
                <c:pt idx="615">
                  <c:v>#N/A</c:v>
                </c:pt>
                <c:pt idx="616">
                  <c:v>#N/A</c:v>
                </c:pt>
                <c:pt idx="617">
                  <c:v>#N/A</c:v>
                </c:pt>
                <c:pt idx="618">
                  <c:v>#N/A</c:v>
                </c:pt>
                <c:pt idx="619">
                  <c:v>#N/A</c:v>
                </c:pt>
                <c:pt idx="620">
                  <c:v>714.01663412171263</c:v>
                </c:pt>
                <c:pt idx="621">
                  <c:v>#N/A</c:v>
                </c:pt>
                <c:pt idx="622">
                  <c:v>#N/A</c:v>
                </c:pt>
                <c:pt idx="623">
                  <c:v>#N/A</c:v>
                </c:pt>
                <c:pt idx="624">
                  <c:v>#N/A</c:v>
                </c:pt>
                <c:pt idx="625">
                  <c:v>#N/A</c:v>
                </c:pt>
                <c:pt idx="626">
                  <c:v>#N/A</c:v>
                </c:pt>
                <c:pt idx="627">
                  <c:v>#N/A</c:v>
                </c:pt>
                <c:pt idx="628">
                  <c:v>#N/A</c:v>
                </c:pt>
                <c:pt idx="629">
                  <c:v>#N/A</c:v>
                </c:pt>
                <c:pt idx="630">
                  <c:v>754.56354909963068</c:v>
                </c:pt>
                <c:pt idx="631">
                  <c:v>#N/A</c:v>
                </c:pt>
                <c:pt idx="632">
                  <c:v>#N/A</c:v>
                </c:pt>
                <c:pt idx="633">
                  <c:v>#N/A</c:v>
                </c:pt>
                <c:pt idx="634">
                  <c:v>#N/A</c:v>
                </c:pt>
                <c:pt idx="635">
                  <c:v>#N/A</c:v>
                </c:pt>
                <c:pt idx="636">
                  <c:v>#N/A</c:v>
                </c:pt>
                <c:pt idx="637">
                  <c:v>#N/A</c:v>
                </c:pt>
                <c:pt idx="638">
                  <c:v>#N/A</c:v>
                </c:pt>
                <c:pt idx="639">
                  <c:v>#N/A</c:v>
                </c:pt>
                <c:pt idx="640">
                  <c:v>794.71695427763746</c:v>
                </c:pt>
                <c:pt idx="641">
                  <c:v>#N/A</c:v>
                </c:pt>
                <c:pt idx="642">
                  <c:v>#N/A</c:v>
                </c:pt>
                <c:pt idx="643">
                  <c:v>#N/A</c:v>
                </c:pt>
                <c:pt idx="644">
                  <c:v>#N/A</c:v>
                </c:pt>
                <c:pt idx="645">
                  <c:v>#N/A</c:v>
                </c:pt>
                <c:pt idx="646">
                  <c:v>#N/A</c:v>
                </c:pt>
                <c:pt idx="647">
                  <c:v>#N/A</c:v>
                </c:pt>
                <c:pt idx="648">
                  <c:v>#N/A</c:v>
                </c:pt>
                <c:pt idx="649">
                  <c:v>#N/A</c:v>
                </c:pt>
                <c:pt idx="650">
                  <c:v>834.52704223268574</c:v>
                </c:pt>
                <c:pt idx="651">
                  <c:v>#N/A</c:v>
                </c:pt>
                <c:pt idx="652">
                  <c:v>#N/A</c:v>
                </c:pt>
                <c:pt idx="653">
                  <c:v>#N/A</c:v>
                </c:pt>
                <c:pt idx="654">
                  <c:v>#N/A</c:v>
                </c:pt>
                <c:pt idx="655">
                  <c:v>#N/A</c:v>
                </c:pt>
                <c:pt idx="656">
                  <c:v>#N/A</c:v>
                </c:pt>
                <c:pt idx="657">
                  <c:v>#N/A</c:v>
                </c:pt>
                <c:pt idx="658">
                  <c:v>#N/A</c:v>
                </c:pt>
                <c:pt idx="659">
                  <c:v>#N/A</c:v>
                </c:pt>
                <c:pt idx="660">
                  <c:v>874.03066250134032</c:v>
                </c:pt>
                <c:pt idx="661">
                  <c:v>#N/A</c:v>
                </c:pt>
                <c:pt idx="662">
                  <c:v>#N/A</c:v>
                </c:pt>
                <c:pt idx="663">
                  <c:v>#N/A</c:v>
                </c:pt>
                <c:pt idx="664">
                  <c:v>#N/A</c:v>
                </c:pt>
                <c:pt idx="665">
                  <c:v>#N/A</c:v>
                </c:pt>
                <c:pt idx="666">
                  <c:v>#N/A</c:v>
                </c:pt>
                <c:pt idx="667">
                  <c:v>#N/A</c:v>
                </c:pt>
                <c:pt idx="668">
                  <c:v>#N/A</c:v>
                </c:pt>
                <c:pt idx="669">
                  <c:v>#N/A</c:v>
                </c:pt>
                <c:pt idx="670">
                  <c:v>913.2488244531595</c:v>
                </c:pt>
                <c:pt idx="671">
                  <c:v>#N/A</c:v>
                </c:pt>
                <c:pt idx="672">
                  <c:v>#N/A</c:v>
                </c:pt>
                <c:pt idx="673">
                  <c:v>#N/A</c:v>
                </c:pt>
                <c:pt idx="674">
                  <c:v>#N/A</c:v>
                </c:pt>
                <c:pt idx="675">
                  <c:v>#N/A</c:v>
                </c:pt>
                <c:pt idx="676">
                  <c:v>#N/A</c:v>
                </c:pt>
                <c:pt idx="677">
                  <c:v>#N/A</c:v>
                </c:pt>
                <c:pt idx="678">
                  <c:v>#N/A</c:v>
                </c:pt>
                <c:pt idx="679">
                  <c:v>#N/A</c:v>
                </c:pt>
                <c:pt idx="680">
                  <c:v>952.18512004876595</c:v>
                </c:pt>
                <c:pt idx="681">
                  <c:v>#N/A</c:v>
                </c:pt>
                <c:pt idx="682">
                  <c:v>#N/A</c:v>
                </c:pt>
                <c:pt idx="683">
                  <c:v>#N/A</c:v>
                </c:pt>
                <c:pt idx="684">
                  <c:v>#N/A</c:v>
                </c:pt>
                <c:pt idx="685">
                  <c:v>#N/A</c:v>
                </c:pt>
                <c:pt idx="686">
                  <c:v>#N/A</c:v>
                </c:pt>
                <c:pt idx="687">
                  <c:v>#N/A</c:v>
                </c:pt>
                <c:pt idx="688">
                  <c:v>#N/A</c:v>
                </c:pt>
                <c:pt idx="689">
                  <c:v>#N/A</c:v>
                </c:pt>
                <c:pt idx="690">
                  <c:v>990.82645840248222</c:v>
                </c:pt>
                <c:pt idx="691">
                  <c:v>#N/A</c:v>
                </c:pt>
                <c:pt idx="692">
                  <c:v>#N/A</c:v>
                </c:pt>
                <c:pt idx="693">
                  <c:v>#N/A</c:v>
                </c:pt>
                <c:pt idx="694">
                  <c:v>#N/A</c:v>
                </c:pt>
                <c:pt idx="695">
                  <c:v>#N/A</c:v>
                </c:pt>
                <c:pt idx="696">
                  <c:v>#N/A</c:v>
                </c:pt>
                <c:pt idx="697">
                  <c:v>#N/A</c:v>
                </c:pt>
                <c:pt idx="698">
                  <c:v>#N/A</c:v>
                </c:pt>
                <c:pt idx="699">
                  <c:v>#N/A</c:v>
                </c:pt>
                <c:pt idx="700">
                  <c:v>1029.1461084989792</c:v>
                </c:pt>
                <c:pt idx="701">
                  <c:v>#N/A</c:v>
                </c:pt>
                <c:pt idx="702">
                  <c:v>#N/A</c:v>
                </c:pt>
                <c:pt idx="703">
                  <c:v>#N/A</c:v>
                </c:pt>
                <c:pt idx="704">
                  <c:v>#N/A</c:v>
                </c:pt>
                <c:pt idx="705">
                  <c:v>#N/A</c:v>
                </c:pt>
                <c:pt idx="706">
                  <c:v>#N/A</c:v>
                </c:pt>
                <c:pt idx="707">
                  <c:v>#N/A</c:v>
                </c:pt>
                <c:pt idx="708">
                  <c:v>#N/A</c:v>
                </c:pt>
                <c:pt idx="709">
                  <c:v>#N/A</c:v>
                </c:pt>
                <c:pt idx="710">
                  <c:v>1067.1076552830455</c:v>
                </c:pt>
                <c:pt idx="711">
                  <c:v>#N/A</c:v>
                </c:pt>
                <c:pt idx="712">
                  <c:v>#N/A</c:v>
                </c:pt>
                <c:pt idx="713">
                  <c:v>#N/A</c:v>
                </c:pt>
                <c:pt idx="714">
                  <c:v>#N/A</c:v>
                </c:pt>
                <c:pt idx="715">
                  <c:v>#N/A</c:v>
                </c:pt>
                <c:pt idx="716">
                  <c:v>#N/A</c:v>
                </c:pt>
                <c:pt idx="717">
                  <c:v>#N/A</c:v>
                </c:pt>
                <c:pt idx="718">
                  <c:v>#N/A</c:v>
                </c:pt>
                <c:pt idx="719">
                  <c:v>#N/A</c:v>
                </c:pt>
                <c:pt idx="720">
                  <c:v>1104.6685683066294</c:v>
                </c:pt>
                <c:pt idx="721">
                  <c:v>#N/A</c:v>
                </c:pt>
                <c:pt idx="722">
                  <c:v>#N/A</c:v>
                </c:pt>
                <c:pt idx="723">
                  <c:v>#N/A</c:v>
                </c:pt>
                <c:pt idx="724">
                  <c:v>#N/A</c:v>
                </c:pt>
                <c:pt idx="725">
                  <c:v>#N/A</c:v>
                </c:pt>
                <c:pt idx="726">
                  <c:v>#N/A</c:v>
                </c:pt>
                <c:pt idx="727">
                  <c:v>#N/A</c:v>
                </c:pt>
                <c:pt idx="728">
                  <c:v>#N/A</c:v>
                </c:pt>
                <c:pt idx="729">
                  <c:v>#N/A</c:v>
                </c:pt>
                <c:pt idx="730">
                  <c:v>1141.782919142144</c:v>
                </c:pt>
                <c:pt idx="731">
                  <c:v>#N/A</c:v>
                </c:pt>
                <c:pt idx="732">
                  <c:v>#N/A</c:v>
                </c:pt>
                <c:pt idx="733">
                  <c:v>#N/A</c:v>
                </c:pt>
                <c:pt idx="734">
                  <c:v>#N/A</c:v>
                </c:pt>
                <c:pt idx="735">
                  <c:v>#N/A</c:v>
                </c:pt>
                <c:pt idx="736">
                  <c:v>#N/A</c:v>
                </c:pt>
                <c:pt idx="737">
                  <c:v>#N/A</c:v>
                </c:pt>
                <c:pt idx="738">
                  <c:v>#N/A</c:v>
                </c:pt>
                <c:pt idx="739">
                  <c:v>#N/A</c:v>
                </c:pt>
                <c:pt idx="740">
                  <c:v>1178.4033225081109</c:v>
                </c:pt>
                <c:pt idx="741">
                  <c:v>#N/A</c:v>
                </c:pt>
                <c:pt idx="742">
                  <c:v>#N/A</c:v>
                </c:pt>
                <c:pt idx="743">
                  <c:v>#N/A</c:v>
                </c:pt>
                <c:pt idx="744">
                  <c:v>#N/A</c:v>
                </c:pt>
                <c:pt idx="745">
                  <c:v>#N/A</c:v>
                </c:pt>
                <c:pt idx="746">
                  <c:v>#N/A</c:v>
                </c:pt>
                <c:pt idx="747">
                  <c:v>#N/A</c:v>
                </c:pt>
                <c:pt idx="748">
                  <c:v>#N/A</c:v>
                </c:pt>
                <c:pt idx="749">
                  <c:v>#N/A</c:v>
                </c:pt>
                <c:pt idx="750">
                  <c:v>1214.482314361185</c:v>
                </c:pt>
                <c:pt idx="751">
                  <c:v>#N/A</c:v>
                </c:pt>
                <c:pt idx="752">
                  <c:v>#N/A</c:v>
                </c:pt>
                <c:pt idx="753">
                  <c:v>#N/A</c:v>
                </c:pt>
                <c:pt idx="754">
                  <c:v>#N/A</c:v>
                </c:pt>
                <c:pt idx="755">
                  <c:v>#N/A</c:v>
                </c:pt>
                <c:pt idx="756">
                  <c:v>#N/A</c:v>
                </c:pt>
                <c:pt idx="757">
                  <c:v>#N/A</c:v>
                </c:pt>
                <c:pt idx="758">
                  <c:v>#N/A</c:v>
                </c:pt>
                <c:pt idx="759">
                  <c:v>#N/A</c:v>
                </c:pt>
                <c:pt idx="760">
                  <c:v>1249.9733506326506</c:v>
                </c:pt>
                <c:pt idx="761">
                  <c:v>#N/A</c:v>
                </c:pt>
                <c:pt idx="762">
                  <c:v>#N/A</c:v>
                </c:pt>
                <c:pt idx="763">
                  <c:v>#N/A</c:v>
                </c:pt>
                <c:pt idx="764">
                  <c:v>#N/A</c:v>
                </c:pt>
                <c:pt idx="765">
                  <c:v>#N/A</c:v>
                </c:pt>
                <c:pt idx="766">
                  <c:v>#N/A</c:v>
                </c:pt>
                <c:pt idx="767">
                  <c:v>#N/A</c:v>
                </c:pt>
                <c:pt idx="768">
                  <c:v>#N/A</c:v>
                </c:pt>
                <c:pt idx="769">
                  <c:v>#N/A</c:v>
                </c:pt>
                <c:pt idx="770">
                  <c:v>1284.8315519369417</c:v>
                </c:pt>
                <c:pt idx="771">
                  <c:v>#N/A</c:v>
                </c:pt>
                <c:pt idx="772">
                  <c:v>#N/A</c:v>
                </c:pt>
                <c:pt idx="773">
                  <c:v>#N/A</c:v>
                </c:pt>
                <c:pt idx="774">
                  <c:v>#N/A</c:v>
                </c:pt>
                <c:pt idx="775">
                  <c:v>#N/A</c:v>
                </c:pt>
                <c:pt idx="776">
                  <c:v>#N/A</c:v>
                </c:pt>
                <c:pt idx="777">
                  <c:v>#N/A</c:v>
                </c:pt>
                <c:pt idx="778">
                  <c:v>#N/A</c:v>
                </c:pt>
                <c:pt idx="779">
                  <c:v>#N/A</c:v>
                </c:pt>
                <c:pt idx="780">
                  <c:v>1319.014273288072</c:v>
                </c:pt>
                <c:pt idx="781">
                  <c:v>#N/A</c:v>
                </c:pt>
                <c:pt idx="782">
                  <c:v>#N/A</c:v>
                </c:pt>
                <c:pt idx="783">
                  <c:v>#N/A</c:v>
                </c:pt>
                <c:pt idx="784">
                  <c:v>#N/A</c:v>
                </c:pt>
                <c:pt idx="785">
                  <c:v>#N/A</c:v>
                </c:pt>
                <c:pt idx="786">
                  <c:v>#N/A</c:v>
                </c:pt>
                <c:pt idx="787">
                  <c:v>#N/A</c:v>
                </c:pt>
                <c:pt idx="788">
                  <c:v>#N/A</c:v>
                </c:pt>
                <c:pt idx="789">
                  <c:v>#N/A</c:v>
                </c:pt>
                <c:pt idx="790">
                  <c:v>1352.481547494704</c:v>
                </c:pt>
                <c:pt idx="791">
                  <c:v>#N/A</c:v>
                </c:pt>
                <c:pt idx="792">
                  <c:v>#N/A</c:v>
                </c:pt>
                <c:pt idx="793">
                  <c:v>#N/A</c:v>
                </c:pt>
                <c:pt idx="794">
                  <c:v>#N/A</c:v>
                </c:pt>
                <c:pt idx="795">
                  <c:v>#N/A</c:v>
                </c:pt>
                <c:pt idx="796">
                  <c:v>#N/A</c:v>
                </c:pt>
                <c:pt idx="797">
                  <c:v>#N/A</c:v>
                </c:pt>
                <c:pt idx="798">
                  <c:v>#N/A</c:v>
                </c:pt>
                <c:pt idx="799">
                  <c:v>#N/A</c:v>
                </c:pt>
                <c:pt idx="800">
                  <c:v>1385.1964322111814</c:v>
                </c:pt>
                <c:pt idx="801">
                  <c:v>#N/A</c:v>
                </c:pt>
                <c:pt idx="802">
                  <c:v>#N/A</c:v>
                </c:pt>
                <c:pt idx="803">
                  <c:v>#N/A</c:v>
                </c:pt>
                <c:pt idx="804">
                  <c:v>#N/A</c:v>
                </c:pt>
                <c:pt idx="805">
                  <c:v>#N/A</c:v>
                </c:pt>
                <c:pt idx="806">
                  <c:v>#N/A</c:v>
                </c:pt>
                <c:pt idx="807">
                  <c:v>#N/A</c:v>
                </c:pt>
                <c:pt idx="808">
                  <c:v>#N/A</c:v>
                </c:pt>
                <c:pt idx="809">
                  <c:v>#N/A</c:v>
                </c:pt>
                <c:pt idx="810">
                  <c:v>1417.1252793568437</c:v>
                </c:pt>
                <c:pt idx="811">
                  <c:v>#N/A</c:v>
                </c:pt>
                <c:pt idx="812">
                  <c:v>#N/A</c:v>
                </c:pt>
                <c:pt idx="813">
                  <c:v>#N/A</c:v>
                </c:pt>
                <c:pt idx="814">
                  <c:v>#N/A</c:v>
                </c:pt>
                <c:pt idx="815">
                  <c:v>#N/A</c:v>
                </c:pt>
                <c:pt idx="816">
                  <c:v>#N/A</c:v>
                </c:pt>
                <c:pt idx="817">
                  <c:v>#N/A</c:v>
                </c:pt>
                <c:pt idx="818">
                  <c:v>#N/A</c:v>
                </c:pt>
                <c:pt idx="819">
                  <c:v>#N/A</c:v>
                </c:pt>
                <c:pt idx="820">
                  <c:v>1448.2379388810923</c:v>
                </c:pt>
                <c:pt idx="821">
                  <c:v>#N/A</c:v>
                </c:pt>
                <c:pt idx="822">
                  <c:v>#N/A</c:v>
                </c:pt>
                <c:pt idx="823">
                  <c:v>#N/A</c:v>
                </c:pt>
                <c:pt idx="824">
                  <c:v>#N/A</c:v>
                </c:pt>
                <c:pt idx="825">
                  <c:v>#N/A</c:v>
                </c:pt>
                <c:pt idx="826">
                  <c:v>#N/A</c:v>
                </c:pt>
                <c:pt idx="827">
                  <c:v>#N/A</c:v>
                </c:pt>
                <c:pt idx="828">
                  <c:v>#N/A</c:v>
                </c:pt>
                <c:pt idx="829">
                  <c:v>#N/A</c:v>
                </c:pt>
                <c:pt idx="830">
                  <c:v>1478.5079048606708</c:v>
                </c:pt>
                <c:pt idx="831">
                  <c:v>#N/A</c:v>
                </c:pt>
                <c:pt idx="832">
                  <c:v>#N/A</c:v>
                </c:pt>
                <c:pt idx="833">
                  <c:v>#N/A</c:v>
                </c:pt>
                <c:pt idx="834">
                  <c:v>#N/A</c:v>
                </c:pt>
                <c:pt idx="835">
                  <c:v>#N/A</c:v>
                </c:pt>
                <c:pt idx="836">
                  <c:v>#N/A</c:v>
                </c:pt>
                <c:pt idx="837">
                  <c:v>#N/A</c:v>
                </c:pt>
                <c:pt idx="838">
                  <c:v>#N/A</c:v>
                </c:pt>
                <c:pt idx="839">
                  <c:v>#N/A</c:v>
                </c:pt>
                <c:pt idx="840">
                  <c:v>1507.9124095982766</c:v>
                </c:pt>
                <c:pt idx="841">
                  <c:v>#N/A</c:v>
                </c:pt>
                <c:pt idx="842">
                  <c:v>#N/A</c:v>
                </c:pt>
                <c:pt idx="843">
                  <c:v>#N/A</c:v>
                </c:pt>
                <c:pt idx="844">
                  <c:v>#N/A</c:v>
                </c:pt>
                <c:pt idx="845">
                  <c:v>#N/A</c:v>
                </c:pt>
                <c:pt idx="846">
                  <c:v>#N/A</c:v>
                </c:pt>
                <c:pt idx="847">
                  <c:v>#N/A</c:v>
                </c:pt>
                <c:pt idx="848">
                  <c:v>#N/A</c:v>
                </c:pt>
                <c:pt idx="849">
                  <c:v>#N/A</c:v>
                </c:pt>
                <c:pt idx="850">
                  <c:v>1536.4324701052947</c:v>
                </c:pt>
                <c:pt idx="851">
                  <c:v>#N/A</c:v>
                </c:pt>
                <c:pt idx="852">
                  <c:v>#N/A</c:v>
                </c:pt>
                <c:pt idx="853">
                  <c:v>#N/A</c:v>
                </c:pt>
                <c:pt idx="854">
                  <c:v>#N/A</c:v>
                </c:pt>
                <c:pt idx="855">
                  <c:v>#N/A</c:v>
                </c:pt>
                <c:pt idx="856">
                  <c:v>#N/A</c:v>
                </c:pt>
                <c:pt idx="857">
                  <c:v>#N/A</c:v>
                </c:pt>
                <c:pt idx="858">
                  <c:v>#N/A</c:v>
                </c:pt>
                <c:pt idx="859">
                  <c:v>#N/A</c:v>
                </c:pt>
                <c:pt idx="860">
                  <c:v>1564.0528907031367</c:v>
                </c:pt>
                <c:pt idx="861">
                  <c:v>#N/A</c:v>
                </c:pt>
                <c:pt idx="862">
                  <c:v>#N/A</c:v>
                </c:pt>
                <c:pt idx="863">
                  <c:v>#N/A</c:v>
                </c:pt>
                <c:pt idx="864">
                  <c:v>#N/A</c:v>
                </c:pt>
                <c:pt idx="865">
                  <c:v>#N/A</c:v>
                </c:pt>
                <c:pt idx="866">
                  <c:v>#N/A</c:v>
                </c:pt>
                <c:pt idx="867">
                  <c:v>#N/A</c:v>
                </c:pt>
                <c:pt idx="868">
                  <c:v>#N/A</c:v>
                </c:pt>
                <c:pt idx="869">
                  <c:v>#N/A</c:v>
                </c:pt>
                <c:pt idx="870">
                  <c:v>1590.7622252203266</c:v>
                </c:pt>
                <c:pt idx="871">
                  <c:v>#N/A</c:v>
                </c:pt>
                <c:pt idx="872">
                  <c:v>#N/A</c:v>
                </c:pt>
                <c:pt idx="873">
                  <c:v>#N/A</c:v>
                </c:pt>
                <c:pt idx="874">
                  <c:v>#N/A</c:v>
                </c:pt>
                <c:pt idx="875">
                  <c:v>#N/A</c:v>
                </c:pt>
                <c:pt idx="876">
                  <c:v>#N/A</c:v>
                </c:pt>
                <c:pt idx="877">
                  <c:v>#N/A</c:v>
                </c:pt>
                <c:pt idx="878">
                  <c:v>#N/A</c:v>
                </c:pt>
                <c:pt idx="879">
                  <c:v>#N/A</c:v>
                </c:pt>
                <c:pt idx="880">
                  <c:v>1616.5527022359895</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2.6452165658300903E-4</c:v>
                </c:pt>
                <c:pt idx="2">
                  <c:v>1.8747213115951592E-3</c:v>
                </c:pt>
                <c:pt idx="3">
                  <c:v>5.9861442544103249E-3</c:v>
                </c:pt>
                <c:pt idx="4">
                  <c:v>1.3276817814292706E-2</c:v>
                </c:pt>
                <c:pt idx="5">
                  <c:v>2.4425215615250705E-2</c:v>
                </c:pt>
                <c:pt idx="6">
                  <c:v>4.0110325488383718E-2</c:v>
                </c:pt>
                <c:pt idx="7">
                  <c:v>6.1011717008833427E-2</c:v>
                </c:pt>
                <c:pt idx="8">
                  <c:v>8.780960867822267E-2</c:v>
                </c:pt>
                <c:pt idx="9">
                  <c:v>0.12118493477305489</c:v>
                </c:pt>
                <c:pt idx="10">
                  <c:v>0.16181941187915372</c:v>
                </c:pt>
                <c:pt idx="11">
                  <c:v>0.21020066472836854</c:v>
                </c:pt>
                <c:pt idx="12">
                  <c:v>0.26642697690046763</c:v>
                </c:pt>
                <c:pt idx="13">
                  <c:v>0.33040022988535855</c:v>
                </c:pt>
                <c:pt idx="14">
                  <c:v>0.40201918266339187</c:v>
                </c:pt>
                <c:pt idx="15">
                  <c:v>0.48118095439903419</c:v>
                </c:pt>
                <c:pt idx="16">
                  <c:v>0.56778250976729483</c:v>
                </c:pt>
                <c:pt idx="17">
                  <c:v>0.66172066136732088</c:v>
                </c:pt>
                <c:pt idx="18">
                  <c:v>0.76289207213410049</c:v>
                </c:pt>
                <c:pt idx="19">
                  <c:v>0.87119325774803302</c:v>
                </c:pt>
                <c:pt idx="20">
                  <c:v>0.98652058904212536</c:v>
                </c:pt>
                <c:pt idx="21">
                  <c:v>1.1087702944065749</c:v>
                </c:pt>
                <c:pt idx="22">
                  <c:v>1.2378384621905032</c:v>
                </c:pt>
                <c:pt idx="23">
                  <c:v>1.3736210431006013</c:v>
                </c:pt>
                <c:pt idx="24">
                  <c:v>1.5160138525964557</c:v>
                </c:pt>
                <c:pt idx="25">
                  <c:v>1.6649125732823176</c:v>
                </c:pt>
                <c:pt idx="26">
                  <c:v>1.8202127572950877</c:v>
                </c:pt>
                <c:pt idx="27">
                  <c:v>1.9818359875719997</c:v>
                </c:pt>
                <c:pt idx="28">
                  <c:v>2.1497560753556342</c:v>
                </c:pt>
                <c:pt idx="29">
                  <c:v>2.3239729563518665</c:v>
                </c:pt>
                <c:pt idx="30">
                  <c:v>2.5044865494497888</c:v>
                </c:pt>
                <c:pt idx="31">
                  <c:v>2.6912967567064605</c:v>
                </c:pt>
                <c:pt idx="32">
                  <c:v>2.8844034633318785</c:v>
                </c:pt>
                <c:pt idx="33">
                  <c:v>3.0838065376741701</c:v>
                </c:pt>
                <c:pt idx="34">
                  <c:v>3.2895058312050081</c:v>
                </c:pt>
                <c:pt idx="35">
                  <c:v>3.5015011785052468</c:v>
                </c:pt>
                <c:pt idx="36">
                  <c:v>3.719792397250782</c:v>
                </c:pt>
                <c:pt idx="37">
                  <c:v>3.9443792881986361</c:v>
                </c:pt>
                <c:pt idx="38">
                  <c:v>4.1752468393287172</c:v>
                </c:pt>
                <c:pt idx="39">
                  <c:v>4.4123795689231065</c:v>
                </c:pt>
                <c:pt idx="40">
                  <c:v>4.6557763237240888</c:v>
                </c:pt>
                <c:pt idx="41">
                  <c:v>4.905435943895438</c:v>
                </c:pt>
                <c:pt idx="42">
                  <c:v>5.1613572684116509</c:v>
                </c:pt>
                <c:pt idx="43">
                  <c:v>5.4235391343909862</c:v>
                </c:pt>
                <c:pt idx="44">
                  <c:v>5.6919803764712604</c:v>
                </c:pt>
                <c:pt idx="45">
                  <c:v>5.9666798262247145</c:v>
                </c:pt>
                <c:pt idx="46">
                  <c:v>6.24763631160865</c:v>
                </c:pt>
                <c:pt idx="47">
                  <c:v>6.5348486564488955</c:v>
                </c:pt>
                <c:pt idx="48">
                  <c:v>6.8283156799534481</c:v>
                </c:pt>
                <c:pt idx="49">
                  <c:v>7.1280361962539267</c:v>
                </c:pt>
                <c:pt idx="50">
                  <c:v>7.4340090139726867</c:v>
                </c:pt>
                <c:pt idx="51">
                  <c:v>7.7462329358136586</c:v>
                </c:pt>
                <c:pt idx="52">
                  <c:v>8.0647067581751717</c:v>
                </c:pt>
                <c:pt idx="53">
                  <c:v>8.3894292707831539</c:v>
                </c:pt>
                <c:pt idx="54">
                  <c:v>8.7203992563432813</c:v>
                </c:pt>
                <c:pt idx="55">
                  <c:v>9.0576154902107557</c:v>
                </c:pt>
                <c:pt idx="56">
                  <c:v>9.4010767400764976</c:v>
                </c:pt>
                <c:pt idx="57">
                  <c:v>9.7507817656686875</c:v>
                </c:pt>
                <c:pt idx="58">
                  <c:v>10.106729318468615</c:v>
                </c:pt>
                <c:pt idx="59">
                  <c:v>10.468918141439941</c:v>
                </c:pt>
                <c:pt idx="60">
                  <c:v>10.837346968770524</c:v>
                </c:pt>
                <c:pt idx="61">
                  <c:v>11.212014525626016</c:v>
                </c:pt>
                <c:pt idx="62">
                  <c:v>11.592919527914532</c:v>
                </c:pt>
                <c:pt idx="63">
                  <c:v>11.980060682061726</c:v>
                </c:pt>
                <c:pt idx="64">
                  <c:v>12.373436684795646</c:v>
                </c:pt>
                <c:pt idx="65">
                  <c:v>12.773046222940831</c:v>
                </c:pt>
                <c:pt idx="66">
                  <c:v>13.17888797322111</c:v>
                </c:pt>
                <c:pt idx="67">
                  <c:v>13.590960602070622</c:v>
                </c:pt>
                <c:pt idx="68">
                  <c:v>14.009262765452601</c:v>
                </c:pt>
                <c:pt idx="69">
                  <c:v>14.433793108685522</c:v>
                </c:pt>
                <c:pt idx="70">
                  <c:v>14.864550266276204</c:v>
                </c:pt>
                <c:pt idx="71">
                  <c:v>15.30153286175951</c:v>
                </c:pt>
                <c:pt idx="72">
                  <c:v>15.74473921039629</c:v>
                </c:pt>
                <c:pt idx="73">
                  <c:v>16.1941670215645</c:v>
                </c:pt>
                <c:pt idx="74">
                  <c:v>16.64981369531241</c:v>
                </c:pt>
                <c:pt idx="75">
                  <c:v>17.111676619232473</c:v>
                </c:pt>
                <c:pt idx="76">
                  <c:v>17.579753168334534</c:v>
                </c:pt>
                <c:pt idx="77">
                  <c:v>18.054040704924116</c:v>
                </c:pt>
                <c:pt idx="78">
                  <c:v>18.534536578485511</c:v>
                </c:pt>
                <c:pt idx="79">
                  <c:v>19.021238125569482</c:v>
                </c:pt>
                <c:pt idx="80">
                  <c:v>19.514142669685356</c:v>
                </c:pt>
                <c:pt idx="81">
                  <c:v>20.013247521197304</c:v>
                </c:pt>
                <c:pt idx="82">
                  <c:v>20.518549977224648</c:v>
                </c:pt>
                <c:pt idx="83">
                  <c:v>21.030047321545993</c:v>
                </c:pt>
                <c:pt idx="84">
                  <c:v>21.547736824507041</c:v>
                </c:pt>
                <c:pt idx="85">
                  <c:v>22.071615742931925</c:v>
                </c:pt>
                <c:pt idx="86">
                  <c:v>22.601681320037926</c:v>
                </c:pt>
                <c:pt idx="87">
                  <c:v>23.137930785353412</c:v>
                </c:pt>
                <c:pt idx="88">
                  <c:v>23.680361354638897</c:v>
                </c:pt>
                <c:pt idx="89">
                  <c:v>24.228970229811086</c:v>
                </c:pt>
                <c:pt idx="90">
                  <c:v>24.783754598869791</c:v>
                </c:pt>
                <c:pt idx="91">
                  <c:v>25.344711635827593</c:v>
                </c:pt>
                <c:pt idx="92">
                  <c:v>25.911838500642183</c:v>
                </c:pt>
                <c:pt idx="93">
                  <c:v>26.485132339151235</c:v>
                </c:pt>
                <c:pt idx="94">
                  <c:v>27.064590283009771</c:v>
                </c:pt>
                <c:pt idx="95">
                  <c:v>27.650209449629873</c:v>
                </c:pt>
                <c:pt idx="96">
                  <c:v>28.241986942122701</c:v>
                </c:pt>
                <c:pt idx="97">
                  <c:v>28.839919849242715</c:v>
                </c:pt>
                <c:pt idx="98">
                  <c:v>29.444005245334044</c:v>
                </c:pt>
                <c:pt idx="99">
                  <c:v>30.054240190278886</c:v>
                </c:pt>
                <c:pt idx="100">
                  <c:v>30.670621729447941</c:v>
                </c:pt>
                <c:pt idx="101">
                  <c:v>31.293146893652736</c:v>
                </c:pt>
                <c:pt idx="102">
                  <c:v>31.921812699099831</c:v>
                </c:pt>
                <c:pt idx="103">
                  <c:v>32.556616147346823</c:v>
                </c:pt>
                <c:pt idx="104">
                  <c:v>33.197554225260106</c:v>
                </c:pt>
                <c:pt idx="105">
                  <c:v>33.844623904974306</c:v>
                </c:pt>
                <c:pt idx="106">
                  <c:v>34.497822143853369</c:v>
                </c:pt>
                <c:pt idx="107">
                  <c:v>35.157145884453257</c:v>
                </c:pt>
                <c:pt idx="108">
                  <c:v>35.822592054486151</c:v>
                </c:pt>
                <c:pt idx="109">
                  <c:v>36.494157566786164</c:v>
                </c:pt>
                <c:pt idx="110">
                  <c:v>37.171839319276536</c:v>
                </c:pt>
                <c:pt idx="111">
                  <c:v>37.855634194938219</c:v>
                </c:pt>
                <c:pt idx="112">
                  <c:v>38.54553906177982</c:v>
                </c:pt>
                <c:pt idx="113">
                  <c:v>39.241550772808921</c:v>
                </c:pt>
                <c:pt idx="114">
                  <c:v>39.943666166004668</c:v>
                </c:pt>
                <c:pt idx="115">
                  <c:v>40.651882064291641</c:v>
                </c:pt>
                <c:pt idx="116">
                  <c:v>41.366195275514919</c:v>
                </c:pt>
                <c:pt idx="117">
                  <c:v>42.086602592416405</c:v>
                </c:pt>
                <c:pt idx="118">
                  <c:v>42.813100792612275</c:v>
                </c:pt>
                <c:pt idx="119">
                  <c:v>43.54568663857156</c:v>
                </c:pt>
                <c:pt idx="120">
                  <c:v>44.284356877595876</c:v>
                </c:pt>
                <c:pt idx="121">
                  <c:v>45.029108241800195</c:v>
                </c:pt>
                <c:pt idx="122">
                  <c:v>45.779937448094699</c:v>
                </c:pt>
                <c:pt idx="123">
                  <c:v>46.536841198167657</c:v>
                </c:pt>
                <c:pt idx="124">
                  <c:v>47.299816178469307</c:v>
                </c:pt>
                <c:pt idx="125">
                  <c:v>48.068859060196708</c:v>
                </c:pt>
                <c:pt idx="126">
                  <c:v>48.843966499279595</c:v>
                </c:pt>
                <c:pt idx="127">
                  <c:v>49.62513513636712</c:v>
                </c:pt>
                <c:pt idx="128">
                  <c:v>50.412361596815529</c:v>
                </c:pt>
                <c:pt idx="129">
                  <c:v>51.205641130075634</c:v>
                </c:pt>
                <c:pt idx="130">
                  <c:v>52.004966247768643</c:v>
                </c:pt>
                <c:pt idx="131">
                  <c:v>52.810328082516584</c:v>
                </c:pt>
                <c:pt idx="132">
                  <c:v>53.621717748106796</c:v>
                </c:pt>
                <c:pt idx="133">
                  <c:v>54.439126339525743</c:v>
                </c:pt>
                <c:pt idx="134">
                  <c:v>55.262544932993777</c:v>
                </c:pt>
                <c:pt idx="135">
                  <c:v>56.091964586000927</c:v>
                </c:pt>
                <c:pt idx="136">
                  <c:v>56.927376337343617</c:v>
                </c:pt>
                <c:pt idx="137">
                  <c:v>57.768771207162288</c:v>
                </c:pt>
                <c:pt idx="138">
                  <c:v>58.616140196979977</c:v>
                </c:pt>
                <c:pt idx="139">
                  <c:v>59.46947428974174</c:v>
                </c:pt>
                <c:pt idx="140">
                  <c:v>60.328764449854958</c:v>
                </c:pt>
                <c:pt idx="141">
                  <c:v>61.194001623230506</c:v>
                </c:pt>
                <c:pt idx="142">
                  <c:v>62.06517673732472</c:v>
                </c:pt>
                <c:pt idx="143">
                  <c:v>62.942280701182206</c:v>
                </c:pt>
                <c:pt idx="144">
                  <c:v>63.825304405479422</c:v>
                </c:pt>
                <c:pt idx="145">
                  <c:v>64.71423872256905</c:v>
                </c:pt>
                <c:pt idx="146">
                  <c:v>65.609074506525104</c:v>
                </c:pt>
                <c:pt idx="147">
                  <c:v>66.509802593188823</c:v>
                </c:pt>
                <c:pt idx="148">
                  <c:v>67.416413800215238</c:v>
                </c:pt>
                <c:pt idx="149">
                  <c:v>68.328898927120534</c:v>
                </c:pt>
                <c:pt idx="150">
                  <c:v>69.247248755330006</c:v>
                </c:pt>
                <c:pt idx="151">
                  <c:v>70.171454048226764</c:v>
                </c:pt>
                <c:pt idx="152">
                  <c:v>71.101505551201114</c:v>
                </c:pt>
                <c:pt idx="153">
                  <c:v>72.037393991700569</c:v>
                </c:pt>
                <c:pt idx="154">
                  <c:v>72.979110079280517</c:v>
                </c:pt>
                <c:pt idx="155">
                  <c:v>73.926644505655489</c:v>
                </c:pt>
                <c:pt idx="156">
                  <c:v>74.879987944751093</c:v>
                </c:pt>
                <c:pt idx="157">
                  <c:v>75.839131052756542</c:v>
                </c:pt>
                <c:pt idx="158">
                  <c:v>76.804064468177742</c:v>
                </c:pt>
                <c:pt idx="159">
                  <c:v>77.774778811890997</c:v>
                </c:pt>
                <c:pt idx="160">
                  <c:v>78.751264687197249</c:v>
                </c:pt>
                <c:pt idx="161">
                  <c:v>79.733512679876952</c:v>
                </c:pt>
                <c:pt idx="162">
                  <c:v>80.721513358245417</c:v>
                </c:pt>
                <c:pt idx="163">
                  <c:v>81.715257273208707</c:v>
                </c:pt>
                <c:pt idx="164">
                  <c:v>82.714734958320108</c:v>
                </c:pt>
                <c:pt idx="165">
                  <c:v>83.719936929837061</c:v>
                </c:pt>
                <c:pt idx="166">
                  <c:v>84.730853686778673</c:v>
                </c:pt>
                <c:pt idx="167">
                  <c:v>85.74747571098365</c:v>
                </c:pt>
                <c:pt idx="168">
                  <c:v>86.769793467168739</c:v>
                </c:pt>
                <c:pt idx="169">
                  <c:v>87.797797402987726</c:v>
                </c:pt>
                <c:pt idx="170">
                  <c:v>88.831477949090768</c:v>
                </c:pt>
                <c:pt idx="171">
                  <c:v>89.870825519184336</c:v>
                </c:pt>
                <c:pt idx="172">
                  <c:v>90.915830510091496</c:v>
                </c:pt>
                <c:pt idx="173">
                  <c:v>91.966483301812701</c:v>
                </c:pt>
                <c:pt idx="174">
                  <c:v>93.022774257586988</c:v>
                </c:pt>
                <c:pt idx="175">
                  <c:v>94.084693723953635</c:v>
                </c:pt>
                <c:pt idx="176">
                  <c:v>95.152232030814204</c:v>
                </c:pt>
                <c:pt idx="177">
                  <c:v>96.225379491495033</c:v>
                </c:pt>
                <c:pt idx="178">
                  <c:v>97.304126402810084</c:v>
                </c:pt>
                <c:pt idx="179">
                  <c:v>98.388463045124269</c:v>
                </c:pt>
                <c:pt idx="180">
                  <c:v>99.478379682417099</c:v>
                </c:pt>
                <c:pt idx="181">
                  <c:v>100.57386656234674</c:v>
                </c:pt>
                <c:pt idx="182">
                  <c:v>101.67491391631442</c:v>
                </c:pt>
                <c:pt idx="183">
                  <c:v>102.78151195952928</c:v>
                </c:pt>
                <c:pt idx="184">
                  <c:v>103.89365089107352</c:v>
                </c:pt>
                <c:pt idx="185">
                  <c:v>105.01132089396792</c:v>
                </c:pt>
                <c:pt idx="186">
                  <c:v>106.13451213523769</c:v>
                </c:pt>
                <c:pt idx="187">
                  <c:v>107.26321476597873</c:v>
                </c:pt>
                <c:pt idx="188">
                  <c:v>108.39741892142416</c:v>
                </c:pt>
                <c:pt idx="189">
                  <c:v>109.53711472101122</c:v>
                </c:pt>
                <c:pt idx="190">
                  <c:v>110.68229226844845</c:v>
                </c:pt>
                <c:pt idx="191">
                  <c:v>111.83294165178324</c:v>
                </c:pt>
                <c:pt idx="192">
                  <c:v>112.9890529434697</c:v>
                </c:pt>
                <c:pt idx="193">
                  <c:v>114.15061620043674</c:v>
                </c:pt>
                <c:pt idx="194">
                  <c:v>115.31762146415659</c:v>
                </c:pt>
                <c:pt idx="195">
                  <c:v>116.49005876071348</c:v>
                </c:pt>
                <c:pt idx="196">
                  <c:v>117.66791810087275</c:v>
                </c:pt>
                <c:pt idx="197">
                  <c:v>118.85118948015013</c:v>
                </c:pt>
                <c:pt idx="198">
                  <c:v>120.03986287888128</c:v>
                </c:pt>
                <c:pt idx="199">
                  <c:v>121.2339282622918</c:v>
                </c:pt>
                <c:pt idx="200">
                  <c:v>122.43337558056723</c:v>
                </c:pt>
                <c:pt idx="201">
                  <c:v>123.63819476892355</c:v>
                </c:pt>
                <c:pt idx="202">
                  <c:v>124.84837574767781</c:v>
                </c:pt>
                <c:pt idx="203">
                  <c:v>126.06390842231899</c:v>
                </c:pt>
                <c:pt idx="204">
                  <c:v>127.28478268357927</c:v>
                </c:pt>
                <c:pt idx="205">
                  <c:v>128.51098840750535</c:v>
                </c:pt>
                <c:pt idx="206">
                  <c:v>129.74251512626549</c:v>
                </c:pt>
                <c:pt idx="207">
                  <c:v>130.97935169872864</c:v>
                </c:pt>
                <c:pt idx="208">
                  <c:v>132.22148663954596</c:v>
                </c:pt>
                <c:pt idx="209">
                  <c:v>133.46890844846675</c:v>
                </c:pt>
                <c:pt idx="210">
                  <c:v>134.7216056104229</c:v>
                </c:pt>
                <c:pt idx="211">
                  <c:v>135.97956659561365</c:v>
                </c:pt>
                <c:pt idx="212">
                  <c:v>137.24277985959051</c:v>
                </c:pt>
                <c:pt idx="213">
                  <c:v>138.51123384334235</c:v>
                </c:pt>
                <c:pt idx="214">
                  <c:v>139.78491697338069</c:v>
                </c:pt>
                <c:pt idx="215">
                  <c:v>141.0638176618252</c:v>
                </c:pt>
                <c:pt idx="216">
                  <c:v>142.34792430648938</c:v>
                </c:pt>
                <c:pt idx="217">
                  <c:v>143.63722529096634</c:v>
                </c:pt>
                <c:pt idx="218">
                  <c:v>144.93170898471493</c:v>
                </c:pt>
                <c:pt idx="219">
                  <c:v>146.23136374314575</c:v>
                </c:pt>
                <c:pt idx="220">
                  <c:v>147.53617790770755</c:v>
                </c:pt>
                <c:pt idx="221">
                  <c:v>148.84613980597379</c:v>
                </c:pt>
                <c:pt idx="222">
                  <c:v>150.16123775172917</c:v>
                </c:pt>
                <c:pt idx="223">
                  <c:v>151.48146004505645</c:v>
                </c:pt>
                <c:pt idx="224">
                  <c:v>152.80679497242335</c:v>
                </c:pt>
                <c:pt idx="225">
                  <c:v>154.13723080676965</c:v>
                </c:pt>
                <c:pt idx="226">
                  <c:v>155.47275580759438</c:v>
                </c:pt>
                <c:pt idx="227">
                  <c:v>156.81335822104313</c:v>
                </c:pt>
                <c:pt idx="228">
                  <c:v>158.15902627999543</c:v>
                </c:pt>
                <c:pt idx="229">
                  <c:v>159.5097482041524</c:v>
                </c:pt>
                <c:pt idx="230">
                  <c:v>160.86551220012439</c:v>
                </c:pt>
                <c:pt idx="231">
                  <c:v>162.22630646151876</c:v>
                </c:pt>
                <c:pt idx="232">
                  <c:v>163.5921191690278</c:v>
                </c:pt>
                <c:pt idx="233">
                  <c:v>164.96293849051671</c:v>
                </c:pt>
                <c:pt idx="234">
                  <c:v>166.33875258111166</c:v>
                </c:pt>
                <c:pt idx="235">
                  <c:v>167.71954958328806</c:v>
                </c:pt>
                <c:pt idx="236">
                  <c:v>169.10531762695871</c:v>
                </c:pt>
                <c:pt idx="237">
                  <c:v>170.49604482956232</c:v>
                </c:pt>
                <c:pt idx="238">
                  <c:v>171.89171929615185</c:v>
                </c:pt>
                <c:pt idx="239">
                  <c:v>173.29232911948304</c:v>
                </c:pt>
                <c:pt idx="240">
                  <c:v>174.69786238010306</c:v>
                </c:pt>
                <c:pt idx="241">
                  <c:v>176.1083071464391</c:v>
                </c:pt>
                <c:pt idx="242">
                  <c:v>177.52365033978674</c:v>
                </c:pt>
                <c:pt idx="243">
                  <c:v>178.94387659867462</c:v>
                </c:pt>
                <c:pt idx="244">
                  <c:v>180.36896941347234</c:v>
                </c:pt>
                <c:pt idx="245">
                  <c:v>181.79891226164392</c:v>
                </c:pt>
                <c:pt idx="246">
                  <c:v>183.23368860788108</c:v>
                </c:pt>
                <c:pt idx="247">
                  <c:v>184.6732819042364</c:v>
                </c:pt>
                <c:pt idx="248">
                  <c:v>186.11767559025643</c:v>
                </c:pt>
                <c:pt idx="249">
                  <c:v>187.56685309311473</c:v>
                </c:pt>
                <c:pt idx="250">
                  <c:v>189.0207978277449</c:v>
                </c:pt>
                <c:pt idx="251">
                  <c:v>190.47949319697344</c:v>
                </c:pt>
                <c:pt idx="252">
                  <c:v>191.94292259165258</c:v>
                </c:pt>
                <c:pt idx="253">
                  <c:v>193.41106939079299</c:v>
                </c:pt>
                <c:pt idx="254">
                  <c:v>194.88391696169643</c:v>
                </c:pt>
                <c:pt idx="255">
                  <c:v>196.36144866008826</c:v>
                </c:pt>
                <c:pt idx="256">
                  <c:v>197.84364783024986</c:v>
                </c:pt>
                <c:pt idx="257">
                  <c:v>199.330497805151</c:v>
                </c:pt>
                <c:pt idx="258">
                  <c:v>200.82198190658195</c:v>
                </c:pt>
                <c:pt idx="259">
                  <c:v>202.31808344528565</c:v>
                </c:pt>
                <c:pt idx="260">
                  <c:v>203.8187857210896</c:v>
                </c:pt>
                <c:pt idx="261">
                  <c:v>205.3240720230377</c:v>
                </c:pt>
                <c:pt idx="262">
                  <c:v>206.83392562952199</c:v>
                </c:pt>
                <c:pt idx="263">
                  <c:v>208.34832980841406</c:v>
                </c:pt>
                <c:pt idx="264">
                  <c:v>209.86726781719665</c:v>
                </c:pt>
                <c:pt idx="265">
                  <c:v>211.39072290309468</c:v>
                </c:pt>
                <c:pt idx="266">
                  <c:v>212.91867830320658</c:v>
                </c:pt>
                <c:pt idx="267">
                  <c:v>214.45111724463501</c:v>
                </c:pt>
                <c:pt idx="268">
                  <c:v>215.9880229446178</c:v>
                </c:pt>
                <c:pt idx="269">
                  <c:v>217.52937861065845</c:v>
                </c:pt>
                <c:pt idx="270">
                  <c:v>219.07516744065666</c:v>
                </c:pt>
                <c:pt idx="271">
                  <c:v>220.62537262303846</c:v>
                </c:pt>
                <c:pt idx="272">
                  <c:v>222.1799773368864</c:v>
                </c:pt>
                <c:pt idx="273">
                  <c:v>223.73896475206939</c:v>
                </c:pt>
                <c:pt idx="274">
                  <c:v>225.30231802937243</c:v>
                </c:pt>
                <c:pt idx="275">
                  <c:v>226.87002032062603</c:v>
                </c:pt>
                <c:pt idx="276">
                  <c:v>228.44205476883556</c:v>
                </c:pt>
                <c:pt idx="277">
                  <c:v>230.0184045083104</c:v>
                </c:pt>
                <c:pt idx="278">
                  <c:v>231.59905266479277</c:v>
                </c:pt>
                <c:pt idx="279">
                  <c:v>233.18398235558641</c:v>
                </c:pt>
                <c:pt idx="280">
                  <c:v>234.77317668968504</c:v>
                </c:pt>
                <c:pt idx="281">
                  <c:v>236.36661876790069</c:v>
                </c:pt>
                <c:pt idx="282">
                  <c:v>237.96429168299159</c:v>
                </c:pt>
                <c:pt idx="283">
                  <c:v>239.56617851979001</c:v>
                </c:pt>
                <c:pt idx="284">
                  <c:v>241.17226368396624</c:v>
                </c:pt>
                <c:pt idx="285">
                  <c:v>242.78253423125224</c:v>
                </c:pt>
                <c:pt idx="286">
                  <c:v>244.39697853914555</c:v>
                </c:pt>
                <c:pt idx="287">
                  <c:v>246.01558497812849</c:v>
                </c:pt>
                <c:pt idx="288">
                  <c:v>247.63834191174709</c:v>
                </c:pt>
                <c:pt idx="289">
                  <c:v>249.26523769668998</c:v>
                </c:pt>
                <c:pt idx="290">
                  <c:v>250.89626068286705</c:v>
                </c:pt>
                <c:pt idx="291">
                  <c:v>252.53139921348813</c:v>
                </c:pt>
                <c:pt idx="292">
                  <c:v>254.17064162514157</c:v>
                </c:pt>
                <c:pt idx="293">
                  <c:v>255.81397624787272</c:v>
                </c:pt>
                <c:pt idx="294">
                  <c:v>257.46139140526225</c:v>
                </c:pt>
                <c:pt idx="295">
                  <c:v>259.11287541450451</c:v>
                </c:pt>
                <c:pt idx="296">
                  <c:v>260.76841658648567</c:v>
                </c:pt>
                <c:pt idx="297">
                  <c:v>262.4280032258618</c:v>
                </c:pt>
                <c:pt idx="298">
                  <c:v>264.09162363113694</c:v>
                </c:pt>
                <c:pt idx="299">
                  <c:v>265.75926609474089</c:v>
                </c:pt>
                <c:pt idx="300">
                  <c:v>267.430918903107</c:v>
                </c:pt>
                <c:pt idx="301">
                  <c:v>269.10657033674994</c:v>
                </c:pt>
                <c:pt idx="302">
                  <c:v>270.78620867034311</c:v>
                </c:pt>
                <c:pt idx="303">
                  <c:v>272.46982217279623</c:v>
                </c:pt>
                <c:pt idx="304">
                  <c:v>274.15739910733254</c:v>
                </c:pt>
                <c:pt idx="305">
                  <c:v>275.84892773156616</c:v>
                </c:pt>
                <c:pt idx="306">
                  <c:v>277.54439629757923</c:v>
                </c:pt>
                <c:pt idx="307">
                  <c:v>279.24379305199864</c:v>
                </c:pt>
                <c:pt idx="308">
                  <c:v>280.94710623607318</c:v>
                </c:pt>
                <c:pt idx="309">
                  <c:v>282.65432408575009</c:v>
                </c:pt>
                <c:pt idx="310">
                  <c:v>284.36543483175183</c:v>
                </c:pt>
                <c:pt idx="311">
                  <c:v>286.08042669965243</c:v>
                </c:pt>
                <c:pt idx="312">
                  <c:v>287.79928790995405</c:v>
                </c:pt>
                <c:pt idx="313">
                  <c:v>289.522006678163</c:v>
                </c:pt>
                <c:pt idx="314">
                  <c:v>291.24857121486593</c:v>
                </c:pt>
                <c:pt idx="315">
                  <c:v>292.97896972580583</c:v>
                </c:pt>
                <c:pt idx="316">
                  <c:v>294.7131904119579</c:v>
                </c:pt>
                <c:pt idx="317">
                  <c:v>296.45122146960512</c:v>
                </c:pt>
                <c:pt idx="318">
                  <c:v>298.19305109041386</c:v>
                </c:pt>
                <c:pt idx="319">
                  <c:v>299.93866746150945</c:v>
                </c:pt>
                <c:pt idx="320">
                  <c:v>301.6880587655512</c:v>
                </c:pt>
                <c:pt idx="321">
                  <c:v>303.44121318080778</c:v>
                </c:pt>
                <c:pt idx="322">
                  <c:v>305.19811888123195</c:v>
                </c:pt>
                <c:pt idx="323">
                  <c:v>306.95876403653568</c:v>
                </c:pt>
                <c:pt idx="324">
                  <c:v>308.72313681226461</c:v>
                </c:pt>
                <c:pt idx="325">
                  <c:v>310.49122536987278</c:v>
                </c:pt>
                <c:pt idx="326">
                  <c:v>312.26301794817738</c:v>
                </c:pt>
                <c:pt idx="327">
                  <c:v>314.03850294482965</c:v>
                </c:pt>
                <c:pt idx="328">
                  <c:v>315.81766883499949</c:v>
                </c:pt>
                <c:pt idx="329">
                  <c:v>317.60050409004316</c:v>
                </c:pt>
                <c:pt idx="330">
                  <c:v>319.38699717757447</c:v>
                </c:pt>
                <c:pt idx="331">
                  <c:v>321.17713656153592</c:v>
                </c:pt>
                <c:pt idx="332">
                  <c:v>322.97091070226986</c:v>
                </c:pt>
                <c:pt idx="333">
                  <c:v>324.76830805658915</c:v>
                </c:pt>
                <c:pt idx="334">
                  <c:v>326.56931707784804</c:v>
                </c:pt>
                <c:pt idx="335">
                  <c:v>328.37392621601259</c:v>
                </c:pt>
                <c:pt idx="336">
                  <c:v>330.18212391773108</c:v>
                </c:pt>
                <c:pt idx="337">
                  <c:v>331.99389862640425</c:v>
                </c:pt>
                <c:pt idx="338">
                  <c:v>333.80923878225536</c:v>
                </c:pt>
                <c:pt idx="339">
                  <c:v>335.62813282240023</c:v>
                </c:pt>
                <c:pt idx="340">
                  <c:v>337.45056918091677</c:v>
                </c:pt>
                <c:pt idx="341">
                  <c:v>339.27653628891471</c:v>
                </c:pt>
                <c:pt idx="342">
                  <c:v>341.10602257460494</c:v>
                </c:pt>
                <c:pt idx="343">
                  <c:v>342.93901646336877</c:v>
                </c:pt>
                <c:pt idx="344">
                  <c:v>344.77550637782707</c:v>
                </c:pt>
                <c:pt idx="345">
                  <c:v>346.61548073790919</c:v>
                </c:pt>
                <c:pt idx="346">
                  <c:v>348.45892796092164</c:v>
                </c:pt>
                <c:pt idx="347">
                  <c:v>350.30583646161665</c:v>
                </c:pt>
                <c:pt idx="348">
                  <c:v>352.15619465226058</c:v>
                </c:pt>
                <c:pt idx="349">
                  <c:v>354.0099909427023</c:v>
                </c:pt>
                <c:pt idx="350">
                  <c:v>355.867213740441</c:v>
                </c:pt>
                <c:pt idx="351">
                  <c:v>357.72785145069423</c:v>
                </c:pt>
                <c:pt idx="352">
                  <c:v>359.59189247646555</c:v>
                </c:pt>
                <c:pt idx="353">
                  <c:v>361.45932521861204</c:v>
                </c:pt>
                <c:pt idx="354">
                  <c:v>363.33013807591158</c:v>
                </c:pt>
                <c:pt idx="355">
                  <c:v>365.20431944513012</c:v>
                </c:pt>
                <c:pt idx="356">
                  <c:v>367.08185772108862</c:v>
                </c:pt>
                <c:pt idx="357">
                  <c:v>368.96274129672975</c:v>
                </c:pt>
                <c:pt idx="358">
                  <c:v>370.84695856318461</c:v>
                </c:pt>
                <c:pt idx="359">
                  <c:v>372.73449790983915</c:v>
                </c:pt>
                <c:pt idx="360">
                  <c:v>374.62534772440029</c:v>
                </c:pt>
                <c:pt idx="361">
                  <c:v>376.51949639296203</c:v>
                </c:pt>
                <c:pt idx="362">
                  <c:v>378.41693230007138</c:v>
                </c:pt>
                <c:pt idx="363">
                  <c:v>380.31764382879396</c:v>
                </c:pt>
                <c:pt idx="364">
                  <c:v>382.22161936077941</c:v>
                </c:pt>
                <c:pt idx="365">
                  <c:v>384.12884727632678</c:v>
                </c:pt>
                <c:pt idx="366">
                  <c:v>386.03931801186673</c:v>
                </c:pt>
                <c:pt idx="367">
                  <c:v>387.95302611756597</c:v>
                </c:pt>
                <c:pt idx="368">
                  <c:v>389.86996819926765</c:v>
                </c:pt>
                <c:pt idx="369">
                  <c:v>391.79014086028548</c:v>
                </c:pt>
                <c:pt idx="370">
                  <c:v>393.71354070142161</c:v>
                </c:pt>
                <c:pt idx="371">
                  <c:v>395.64016432098452</c:v>
                </c:pt>
                <c:pt idx="372">
                  <c:v>397.57000831480684</c:v>
                </c:pt>
                <c:pt idx="373">
                  <c:v>399.5030692762632</c:v>
                </c:pt>
                <c:pt idx="374">
                  <c:v>401.43934379628814</c:v>
                </c:pt>
                <c:pt idx="375">
                  <c:v>403.3788284633938</c:v>
                </c:pt>
                <c:pt idx="376">
                  <c:v>405.32151986368785</c:v>
                </c:pt>
                <c:pt idx="377">
                  <c:v>407.26741458089123</c:v>
                </c:pt>
                <c:pt idx="378">
                  <c:v>409.21650919635601</c:v>
                </c:pt>
                <c:pt idx="379">
                  <c:v>411.16880028908321</c:v>
                </c:pt>
                <c:pt idx="380">
                  <c:v>413.12428443574049</c:v>
                </c:pt>
                <c:pt idx="381">
                  <c:v>415.0829559923427</c:v>
                </c:pt>
                <c:pt idx="382">
                  <c:v>417.04480487585607</c:v>
                </c:pt>
                <c:pt idx="383">
                  <c:v>419.00981878342748</c:v>
                </c:pt>
                <c:pt idx="384">
                  <c:v>420.97798541171511</c:v>
                </c:pt>
                <c:pt idx="385">
                  <c:v>422.94929245695658</c:v>
                </c:pt>
                <c:pt idx="386">
                  <c:v>424.92372761503646</c:v>
                </c:pt>
                <c:pt idx="387">
                  <c:v>426.90127858155398</c:v>
                </c:pt>
                <c:pt idx="388">
                  <c:v>428.88193305189014</c:v>
                </c:pt>
                <c:pt idx="389">
                  <c:v>430.86567872127489</c:v>
                </c:pt>
                <c:pt idx="390">
                  <c:v>432.85250328485381</c:v>
                </c:pt>
                <c:pt idx="391">
                  <c:v>434.84239443775476</c:v>
                </c:pt>
                <c:pt idx="392">
                  <c:v>436.8353398751542</c:v>
                </c:pt>
                <c:pt idx="393">
                  <c:v>438.8313272923433</c:v>
                </c:pt>
                <c:pt idx="394">
                  <c:v>440.83034438479376</c:v>
                </c:pt>
                <c:pt idx="395">
                  <c:v>442.83237884822353</c:v>
                </c:pt>
                <c:pt idx="396">
                  <c:v>444.83741837866211</c:v>
                </c:pt>
                <c:pt idx="397">
                  <c:v>446.84545067251565</c:v>
                </c:pt>
                <c:pt idx="398">
                  <c:v>448.85646342663205</c:v>
                </c:pt>
                <c:pt idx="399">
                  <c:v>450.87044433836542</c:v>
                </c:pt>
                <c:pt idx="400">
                  <c:v>452.8873811056406</c:v>
                </c:pt>
                <c:pt idx="401">
                  <c:v>454.90725968822932</c:v>
                </c:pt>
                <c:pt idx="402">
                  <c:v>456.93006256909257</c:v>
                </c:pt>
                <c:pt idx="403">
                  <c:v>458.95577049414044</c:v>
                </c:pt>
                <c:pt idx="404">
                  <c:v>460.98436421195134</c:v>
                </c:pt>
                <c:pt idx="405">
                  <c:v>463.01582447388915</c:v>
                </c:pt>
                <c:pt idx="406">
                  <c:v>465.05013203421964</c:v>
                </c:pt>
                <c:pt idx="407">
                  <c:v>467.08726765022607</c:v>
                </c:pt>
                <c:pt idx="408">
                  <c:v>469.12721208232455</c:v>
                </c:pt>
                <c:pt idx="409">
                  <c:v>471.16994609417878</c:v>
                </c:pt>
                <c:pt idx="410">
                  <c:v>473.21545045281391</c:v>
                </c:pt>
                <c:pt idx="411">
                  <c:v>475.26369633858195</c:v>
                </c:pt>
                <c:pt idx="412">
                  <c:v>477.31463575605761</c:v>
                </c:pt>
                <c:pt idx="413">
                  <c:v>479.36821113031192</c:v>
                </c:pt>
                <c:pt idx="414">
                  <c:v>481.42436490253147</c:v>
                </c:pt>
                <c:pt idx="415">
                  <c:v>483.48303953068074</c:v>
                </c:pt>
                <c:pt idx="416">
                  <c:v>485.54417749015965</c:v>
                </c:pt>
                <c:pt idx="417">
                  <c:v>487.60772127445665</c:v>
                </c:pt>
                <c:pt idx="418">
                  <c:v>489.67361339579639</c:v>
                </c:pt>
                <c:pt idx="419">
                  <c:v>491.74179638578323</c:v>
                </c:pt>
                <c:pt idx="420">
                  <c:v>493.8122073494377</c:v>
                </c:pt>
                <c:pt idx="421">
                  <c:v>495.88477252045203</c:v>
                </c:pt>
                <c:pt idx="422">
                  <c:v>497.95941271297528</c:v>
                </c:pt>
                <c:pt idx="423">
                  <c:v>500.03604877241941</c:v>
                </c:pt>
                <c:pt idx="424">
                  <c:v>502.11460157657513</c:v>
                </c:pt>
                <c:pt idx="425">
                  <c:v>504.19499203671876</c:v>
                </c:pt>
                <c:pt idx="426">
                  <c:v>506.27714109870954</c:v>
                </c:pt>
                <c:pt idx="427">
                  <c:v>508.36096974407781</c:v>
                </c:pt>
                <c:pt idx="428">
                  <c:v>510.4463989911041</c:v>
                </c:pt>
                <c:pt idx="429">
                  <c:v>512.53334989588848</c:v>
                </c:pt>
                <c:pt idx="430">
                  <c:v>514.62174355341108</c:v>
                </c:pt>
                <c:pt idx="431">
                  <c:v>516.71150109858274</c:v>
                </c:pt>
                <c:pt idx="432">
                  <c:v>518.80253494759711</c:v>
                </c:pt>
                <c:pt idx="433">
                  <c:v>520.89474004312854</c:v>
                </c:pt>
                <c:pt idx="434">
                  <c:v>522.98800262533712</c:v>
                </c:pt>
                <c:pt idx="435">
                  <c:v>525.08220899953869</c:v>
                </c:pt>
                <c:pt idx="436">
                  <c:v>527.17724553826235</c:v>
                </c:pt>
                <c:pt idx="437">
                  <c:v>529.27299868328885</c:v>
                </c:pt>
                <c:pt idx="438">
                  <c:v>531.3693549476684</c:v>
                </c:pt>
                <c:pt idx="439">
                  <c:v>533.46620091771956</c:v>
                </c:pt>
                <c:pt idx="440">
                  <c:v>535.56342325500782</c:v>
                </c:pt>
                <c:pt idx="441">
                  <c:v>537.66090869830407</c:v>
                </c:pt>
                <c:pt idx="442">
                  <c:v>539.75854937853421</c:v>
                </c:pt>
                <c:pt idx="443">
                  <c:v>541.85624813009497</c:v>
                </c:pt>
                <c:pt idx="444">
                  <c:v>543.95391317157726</c:v>
                </c:pt>
                <c:pt idx="445">
                  <c:v>546.05145278975772</c:v>
                </c:pt>
                <c:pt idx="446">
                  <c:v>548.14877534081086</c:v>
                </c:pt>
                <c:pt idx="447">
                  <c:v>550.24578925150854</c:v>
                </c:pt>
                <c:pt idx="448">
                  <c:v>552.34240302040587</c:v>
                </c:pt>
                <c:pt idx="449">
                  <c:v>554.43852521901385</c:v>
                </c:pt>
                <c:pt idx="450">
                  <c:v>556.53406449295949</c:v>
                </c:pt>
                <c:pt idx="451">
                  <c:v>558.62892956313169</c:v>
                </c:pt>
                <c:pt idx="452">
                  <c:v>560.7230292268149</c:v>
                </c:pt>
                <c:pt idx="453">
                  <c:v>562.81627995837891</c:v>
                </c:pt>
                <c:pt idx="454">
                  <c:v>564.90861350330624</c:v>
                </c:pt>
                <c:pt idx="455">
                  <c:v>566.99996926593099</c:v>
                </c:pt>
                <c:pt idx="456">
                  <c:v>569.09028670349437</c:v>
                </c:pt>
                <c:pt idx="457">
                  <c:v>571.17950532657562</c:v>
                </c:pt>
                <c:pt idx="458">
                  <c:v>573.26756469951738</c:v>
                </c:pt>
                <c:pt idx="459">
                  <c:v>575.35440444084577</c:v>
                </c:pt>
                <c:pt idx="460">
                  <c:v>577.43996422368423</c:v>
                </c:pt>
                <c:pt idx="461">
                  <c:v>579.52419061104365</c:v>
                </c:pt>
                <c:pt idx="462">
                  <c:v>581.60704388455167</c:v>
                </c:pt>
                <c:pt idx="463">
                  <c:v>583.68849119682238</c:v>
                </c:pt>
                <c:pt idx="464">
                  <c:v>585.76849973021842</c:v>
                </c:pt>
                <c:pt idx="465">
                  <c:v>587.84703669692669</c:v>
                </c:pt>
                <c:pt idx="466">
                  <c:v>589.9240635989438</c:v>
                </c:pt>
                <c:pt idx="467">
                  <c:v>591.99953049374324</c:v>
                </c:pt>
                <c:pt idx="468">
                  <c:v>594.07331782923995</c:v>
                </c:pt>
                <c:pt idx="469">
                  <c:v>596.14525655520231</c:v>
                </c:pt>
                <c:pt idx="470">
                  <c:v>598.21527030284733</c:v>
                </c:pt>
                <c:pt idx="471">
                  <c:v>600.28336099070248</c:v>
                </c:pt>
                <c:pt idx="472">
                  <c:v>602.34953053304366</c:v>
                </c:pt>
                <c:pt idx="473">
                  <c:v>604.41378083990742</c:v>
                </c:pt>
                <c:pt idx="474">
                  <c:v>606.47611381710271</c:v>
                </c:pt>
                <c:pt idx="475">
                  <c:v>608.53653136622324</c:v>
                </c:pt>
                <c:pt idx="476">
                  <c:v>610.59503538465958</c:v>
                </c:pt>
                <c:pt idx="477">
                  <c:v>612.6516277656109</c:v>
                </c:pt>
                <c:pt idx="478">
                  <c:v>614.70631039809712</c:v>
                </c:pt>
                <c:pt idx="479">
                  <c:v>616.75908516697064</c:v>
                </c:pt>
                <c:pt idx="480">
                  <c:v>618.80995395292825</c:v>
                </c:pt>
                <c:pt idx="481">
                  <c:v>620.858918632523</c:v>
                </c:pt>
                <c:pt idx="482">
                  <c:v>622.90598107817584</c:v>
                </c:pt>
                <c:pt idx="483">
                  <c:v>624.95114315818751</c:v>
                </c:pt>
                <c:pt idx="484">
                  <c:v>626.99440673675008</c:v>
                </c:pt>
                <c:pt idx="485">
                  <c:v>629.03577367395849</c:v>
                </c:pt>
                <c:pt idx="486">
                  <c:v>631.07524582582255</c:v>
                </c:pt>
                <c:pt idx="487">
                  <c:v>633.112825044278</c:v>
                </c:pt>
                <c:pt idx="488">
                  <c:v>635.14851317719831</c:v>
                </c:pt>
                <c:pt idx="489">
                  <c:v>637.18231206840608</c:v>
                </c:pt>
                <c:pt idx="490">
                  <c:v>639.21422355768459</c:v>
                </c:pt>
                <c:pt idx="491">
                  <c:v>641.24424948078899</c:v>
                </c:pt>
                <c:pt idx="492">
                  <c:v>643.27239166945765</c:v>
                </c:pt>
                <c:pt idx="493">
                  <c:v>645.29865195142361</c:v>
                </c:pt>
                <c:pt idx="494">
                  <c:v>647.32303215042589</c:v>
                </c:pt>
                <c:pt idx="495">
                  <c:v>649.34553408622037</c:v>
                </c:pt>
                <c:pt idx="496">
                  <c:v>651.36615957459139</c:v>
                </c:pt>
                <c:pt idx="497">
                  <c:v>653.38491042736268</c:v>
                </c:pt>
                <c:pt idx="498">
                  <c:v>655.40178845240848</c:v>
                </c:pt>
                <c:pt idx="499">
                  <c:v>657.41679545366469</c:v>
                </c:pt>
                <c:pt idx="500">
                  <c:v>659.42993323113956</c:v>
                </c:pt>
                <c:pt idx="501">
                  <c:v>679.45864285105449</c:v>
                </c:pt>
                <c:pt idx="502">
                  <c:v>699.30158929699337</c:v>
                </c:pt>
                <c:pt idx="503">
                  <c:v>718.9605331966626</c:v>
                </c:pt>
                <c:pt idx="504">
                  <c:v>738.43719740646941</c:v>
                </c:pt>
                <c:pt idx="505">
                  <c:v>757.7332680446591</c:v>
                </c:pt>
                <c:pt idx="506">
                  <c:v>776.85039548846339</c:v>
                </c:pt>
                <c:pt idx="507">
                  <c:v>795.79019533675955</c:v>
                </c:pt>
                <c:pt idx="508">
                  <c:v>814.5542493396656</c:v>
                </c:pt>
                <c:pt idx="509">
                  <c:v>833.14410629642953</c:v>
                </c:pt>
                <c:pt idx="510">
                  <c:v>851.56128292290373</c:v>
                </c:pt>
                <c:pt idx="511">
                  <c:v>869.80726468983664</c:v>
                </c:pt>
                <c:pt idx="512">
                  <c:v>887.88350663315282</c:v>
                </c:pt>
                <c:pt idx="513">
                  <c:v>905.79143413734016</c:v>
                </c:pt>
                <c:pt idx="514">
                  <c:v>923.5324436930099</c:v>
                </c:pt>
                <c:pt idx="515">
                  <c:v>941.10790362964497</c:v>
                </c:pt>
                <c:pt idx="516">
                  <c:v>958.51915482450727</c:v>
                </c:pt>
                <c:pt idx="517">
                  <c:v>975.76751138862846</c:v>
                </c:pt>
                <c:pt idx="518">
                  <c:v>992.8542613307684</c:v>
                </c:pt>
                <c:pt idx="519">
                  <c:v>1009.7806672001849</c:v>
                </c:pt>
                <c:pt idx="520">
                  <c:v>1026.5479667090199</c:v>
                </c:pt>
                <c:pt idx="521">
                  <c:v>1043.1573733350735</c:v>
                </c:pt>
                <c:pt idx="522">
                  <c:v>1059.6100769057011</c:v>
                </c:pt>
                <c:pt idx="523">
                  <c:v>1075.9072441635383</c:v>
                </c:pt>
                <c:pt idx="524">
                  <c:v>1092.0500193147252</c:v>
                </c:pt>
                <c:pt idx="525">
                  <c:v>1108.039524560277</c:v>
                </c:pt>
                <c:pt idx="526">
                  <c:v>1123.8768606112135</c:v>
                </c:pt>
                <c:pt idx="527">
                  <c:v>1139.5631071880414</c:v>
                </c:pt>
                <c:pt idx="528">
                  <c:v>1155.0993235051512</c:v>
                </c:pt>
                <c:pt idx="529">
                  <c:v>1170.4865487406726</c:v>
                </c:pt>
                <c:pt idx="530">
                  <c:v>1185.7258024923026</c:v>
                </c:pt>
                <c:pt idx="531">
                  <c:v>1200.8180852196092</c:v>
                </c:pt>
                <c:pt idx="532">
                  <c:v>1215.7643786732806</c:v>
                </c:pt>
                <c:pt idx="533">
                  <c:v>1230.5656463117814</c:v>
                </c:pt>
                <c:pt idx="534">
                  <c:v>1245.2228337058505</c:v>
                </c:pt>
                <c:pt idx="535">
                  <c:v>1259.7368689312618</c:v>
                </c:pt>
                <c:pt idx="536">
                  <c:v>1274.1086629502522</c:v>
                </c:pt>
                <c:pt idx="537">
                  <c:v>1288.3391099820017</c:v>
                </c:pt>
                <c:pt idx="538">
                  <c:v>1302.4290878625372</c:v>
                </c:pt>
                <c:pt idx="539">
                  <c:v>1316.3794583944191</c:v>
                </c:pt>
                <c:pt idx="540">
                  <c:v>1330.19106768655</c:v>
                </c:pt>
                <c:pt idx="541">
                  <c:v>1343.8647464844371</c:v>
                </c:pt>
                <c:pt idx="542">
                  <c:v>1357.4013104912228</c:v>
                </c:pt>
                <c:pt idx="543">
                  <c:v>1370.8015606797901</c:v>
                </c:pt>
                <c:pt idx="544">
                  <c:v>1384.0662835962312</c:v>
                </c:pt>
                <c:pt idx="545">
                  <c:v>1397.1962516549647</c:v>
                </c:pt>
                <c:pt idx="546">
                  <c:v>1410.192223425769</c:v>
                </c:pt>
                <c:pt idx="547">
                  <c:v>1423.0549439129927</c:v>
                </c:pt>
                <c:pt idx="548">
                  <c:v>1435.7851448271922</c:v>
                </c:pt>
                <c:pt idx="549">
                  <c:v>1448.3835448494387</c:v>
                </c:pt>
                <c:pt idx="550">
                  <c:v>1460.8508498885255</c:v>
                </c:pt>
                <c:pt idx="551">
                  <c:v>1473.1877533312982</c:v>
                </c:pt>
                <c:pt idx="552">
                  <c:v>1485.3949362863254</c:v>
                </c:pt>
                <c:pt idx="553">
                  <c:v>1497.4730678211158</c:v>
                </c:pt>
                <c:pt idx="554">
                  <c:v>1509.42280519308</c:v>
                </c:pt>
                <c:pt idx="555">
                  <c:v>1521.2447940744337</c:v>
                </c:pt>
                <c:pt idx="556">
                  <c:v>1532.9396687712235</c:v>
                </c:pt>
                <c:pt idx="557">
                  <c:v>1544.5080524366583</c:v>
                </c:pt>
                <c:pt idx="558">
                  <c:v>1555.9505572789146</c:v>
                </c:pt>
                <c:pt idx="559">
                  <c:v>1567.2677847635878</c:v>
                </c:pt>
                <c:pt idx="560">
                  <c:v>1578.4603258109453</c:v>
                </c:pt>
                <c:pt idx="561">
                  <c:v>1589.5287609881395</c:v>
                </c:pt>
                <c:pt idx="562">
                  <c:v>1600.4736606965303</c:v>
                </c:pt>
                <c:pt idx="563">
                  <c:v>1611.2955853542603</c:v>
                </c:pt>
                <c:pt idx="564">
                  <c:v>1621.9950855742245</c:v>
                </c:pt>
                <c:pt idx="565">
                  <c:v>1632.572702337568</c:v>
                </c:pt>
                <c:pt idx="566">
                  <c:v>1643.0289671628439</c:v>
                </c:pt>
                <c:pt idx="567">
                  <c:v>1653.364402270955</c:v>
                </c:pt>
                <c:pt idx="568">
                  <c:v>1663.5795207460053</c:v>
                </c:pt>
                <c:pt idx="569">
                  <c:v>1673.6748266921752</c:v>
                </c:pt>
                <c:pt idx="570">
                  <c:v>1683.6508153867373</c:v>
                </c:pt>
                <c:pt idx="571">
                  <c:v>1693.5079734293229</c:v>
                </c:pt>
                <c:pt idx="572">
                  <c:v>1703.2467788875456</c:v>
                </c:pt>
                <c:pt idx="573">
                  <c:v>1712.8677014390867</c:v>
                </c:pt>
                <c:pt idx="574">
                  <c:v>1722.3712025103412</c:v>
                </c:pt>
                <c:pt idx="575">
                  <c:v>1731.7577354117245</c:v>
                </c:pt>
                <c:pt idx="576">
                  <c:v>1741.0277454697316</c:v>
                </c:pt>
                <c:pt idx="577">
                  <c:v>1750.1816701558414</c:v>
                </c:pt>
                <c:pt idx="578">
                  <c:v>1759.2199392123559</c:v>
                </c:pt>
                <c:pt idx="579">
                  <c:v>1768.1429747752591</c:v>
                </c:pt>
                <c:pt idx="580">
                  <c:v>1776.9511914941804</c:v>
                </c:pt>
                <c:pt idx="581">
                  <c:v>1785.6449966495445</c:v>
                </c:pt>
                <c:pt idx="582">
                  <c:v>1794.2247902669851</c:v>
                </c:pt>
                <c:pt idx="583">
                  <c:v>1802.6909652291019</c:v>
                </c:pt>
                <c:pt idx="584">
                  <c:v>1811.0439073846348</c:v>
                </c:pt>
                <c:pt idx="585">
                  <c:v>1819.2839956551279</c:v>
                </c:pt>
                <c:pt idx="586">
                  <c:v>1827.4116021391567</c:v>
                </c:pt>
                <c:pt idx="587">
                  <c:v>1835.4270922141861</c:v>
                </c:pt>
                <c:pt idx="588">
                  <c:v>1843.3308246361282</c:v>
                </c:pt>
                <c:pt idx="589">
                  <c:v>1851.1231516366663</c:v>
                </c:pt>
                <c:pt idx="590">
                  <c:v>1858.8044190184105</c:v>
                </c:pt>
                <c:pt idx="591">
                  <c:v>1866.3749662479484</c:v>
                </c:pt>
                <c:pt idx="592">
                  <c:v>1873.8351265468527</c:v>
                </c:pt>
                <c:pt idx="593">
                  <c:v>1881.1852269807093</c:v>
                </c:pt>
                <c:pt idx="594">
                  <c:v>1888.4255885462233</c:v>
                </c:pt>
                <c:pt idx="595">
                  <c:v>1895.5565262564655</c:v>
                </c:pt>
                <c:pt idx="596">
                  <c:v>1902.5783492243158</c:v>
                </c:pt>
                <c:pt idx="597">
                  <c:v>1909.491360744162</c:v>
                </c:pt>
                <c:pt idx="598">
                  <c:v>1916.2958583719114</c:v>
                </c:pt>
                <c:pt idx="599">
                  <c:v>1922.9921340033732</c:v>
                </c:pt>
                <c:pt idx="600">
                  <c:v>1929.580473951065</c:v>
                </c:pt>
                <c:pt idx="601">
                  <c:v>1936.0611590195028</c:v>
                </c:pt>
                <c:pt idx="602">
                  <c:v>1942.4344645790288</c:v>
                </c:pt>
                <c:pt idx="603">
                  <c:v>1948.700660638232</c:v>
                </c:pt>
                <c:pt idx="604">
                  <c:v>1954.8600119150187</c:v>
                </c:pt>
                <c:pt idx="605">
                  <c:v>1960.9127779063892</c:v>
                </c:pt>
                <c:pt idx="606">
                  <c:v>1966.8592129569754</c:v>
                </c:pt>
                <c:pt idx="607">
                  <c:v>1972.6995663263981</c:v>
                </c:pt>
                <c:pt idx="608">
                  <c:v>1978.4340822554989</c:v>
                </c:pt>
                <c:pt idx="609">
                  <c:v>1984.063000031507</c:v>
                </c:pt>
                <c:pt idx="610">
                  <c:v>1989.5865540521991</c:v>
                </c:pt>
                <c:pt idx="611">
                  <c:v>1995.0049738891107</c:v>
                </c:pt>
                <c:pt idx="612">
                  <c:v>2000.3184843498634</c:v>
                </c:pt>
                <c:pt idx="613">
                  <c:v>2005.527305539666</c:v>
                </c:pt>
                <c:pt idx="614">
                  <c:v>2010.6316529220587</c:v>
                </c:pt>
                <c:pt idx="615">
                  <c:v>2015.6317373789605</c:v>
                </c:pt>
                <c:pt idx="616">
                  <c:v>2020.5277652700927</c:v>
                </c:pt>
                <c:pt idx="617">
                  <c:v>2025.3199384918439</c:v>
                </c:pt>
                <c:pt idx="618">
                  <c:v>2030.0084545356508</c:v>
                </c:pt>
                <c:pt idx="619">
                  <c:v>2034.5935065459676</c:v>
                </c:pt>
                <c:pt idx="620">
                  <c:v>2039.0752833779029</c:v>
                </c:pt>
                <c:pt idx="621">
                  <c:v>2043.4539696546028</c:v>
                </c:pt>
                <c:pt idx="622">
                  <c:v>2047.7297458244623</c:v>
                </c:pt>
                <c:pt idx="623">
                  <c:v>2051.9027882182522</c:v>
                </c:pt>
                <c:pt idx="624">
                  <c:v>2055.9732691062527</c:v>
                </c:pt>
                <c:pt idx="625">
                  <c:v>2059.9413567554825</c:v>
                </c:pt>
                <c:pt idx="626">
                  <c:v>2063.8072154871247</c:v>
                </c:pt>
                <c:pt idx="627">
                  <c:v>2067.5710057342499</c:v>
                </c:pt>
                <c:pt idx="628">
                  <c:v>2071.2328840999371</c:v>
                </c:pt>
                <c:pt idx="629">
                  <c:v>2074.7930034159081</c:v>
                </c:pt>
                <c:pt idx="630">
                  <c:v>2078.2515128017835</c:v>
                </c:pt>
                <c:pt idx="631">
                  <c:v>2081.6085577250801</c:v>
                </c:pt>
                <c:pt idx="632">
                  <c:v>2084.8642800620705</c:v>
                </c:pt>
                <c:pt idx="633">
                  <c:v>2088.0188181596327</c:v>
                </c:pt>
                <c:pt idx="634">
                  <c:v>2091.0723068982138</c:v>
                </c:pt>
                <c:pt idx="635">
                  <c:v>2094.0248777560496</c:v>
                </c:pt>
                <c:pt idx="636">
                  <c:v>2096.8766588747658</c:v>
                </c:pt>
                <c:pt idx="637">
                  <c:v>2099.6277751265097</c:v>
                </c:pt>
                <c:pt idx="638">
                  <c:v>2102.2783481827464</c:v>
                </c:pt>
                <c:pt idx="639">
                  <c:v>2104.8284965848666</c:v>
                </c:pt>
                <c:pt idx="640">
                  <c:v>2107.2783358167435</c:v>
                </c:pt>
                <c:pt idx="641">
                  <c:v>2109.6279783793884</c:v>
                </c:pt>
                <c:pt idx="642">
                  <c:v>2111.8775338678374</c:v>
                </c:pt>
                <c:pt idx="643">
                  <c:v>2114.0271090504102</c:v>
                </c:pt>
                <c:pt idx="644">
                  <c:v>2116.0768079504733</c:v>
                </c:pt>
                <c:pt idx="645">
                  <c:v>2118.0267319308314</c:v>
                </c:pt>
                <c:pt idx="646">
                  <c:v>2119.8769797808623</c:v>
                </c:pt>
                <c:pt idx="647">
                  <c:v>2121.6276478065024</c:v>
                </c:pt>
                <c:pt idx="648">
                  <c:v>2123.2788299231752</c:v>
                </c:pt>
                <c:pt idx="649">
                  <c:v>2124.830617751737</c:v>
                </c:pt>
                <c:pt idx="650">
                  <c:v>2126.2831007175014</c:v>
                </c:pt>
                <c:pt idx="651">
                  <c:v>2127.6363661523783</c:v>
                </c:pt>
                <c:pt idx="652">
                  <c:v>2128.8904994001441</c:v>
                </c:pt>
                <c:pt idx="653">
                  <c:v>2130.0455839248311</c:v>
                </c:pt>
                <c:pt idx="654">
                  <c:v>2131.1017014221975</c:v>
                </c:pt>
                <c:pt idx="655">
                  <c:v>2132.0589319342125</c:v>
                </c:pt>
                <c:pt idx="656">
                  <c:v>2132.917353966458</c:v>
                </c:pt>
                <c:pt idx="657">
                  <c:v>2133.677044608311</c:v>
                </c:pt>
                <c:pt idx="658">
                  <c:v>2134.3380796557508</c:v>
                </c:pt>
                <c:pt idx="659">
                  <c:v>2134.9005337365847</c:v>
                </c:pt>
                <c:pt idx="660">
                  <c:v>2135.3644804378696</c:v>
                </c:pt>
                <c:pt idx="661">
                  <c:v>2135.7299924352651</c:v>
                </c:pt>
                <c:pt idx="662">
                  <c:v>2135.9971416240282</c:v>
                </c:pt>
                <c:pt idx="663">
                  <c:v>2136.1659992513328</c:v>
                </c:pt>
                <c:pt idx="664">
                  <c:v>2136.2366360495694</c:v>
                </c:pt>
                <c:pt idx="665">
                  <c:v>2136.2091223702701</c:v>
                </c:pt>
                <c:pt idx="666">
                  <c:v>2136.0835283182769</c:v>
                </c:pt>
                <c:pt idx="667">
                  <c:v>2135.8599238857687</c:v>
                </c:pt>
                <c:pt idx="668">
                  <c:v>2135.5383790857531</c:v>
                </c:pt>
                <c:pt idx="669">
                  <c:v>2135.1189640846324</c:v>
                </c:pt>
                <c:pt idx="670">
                  <c:v>2134.6017493334512</c:v>
                </c:pt>
                <c:pt idx="671">
                  <c:v>2133.9868056974533</c:v>
                </c:pt>
                <c:pt idx="672">
                  <c:v>2133.2742045835776</c:v>
                </c:pt>
                <c:pt idx="673">
                  <c:v>2132.4640180655551</c:v>
                </c:pt>
                <c:pt idx="674">
                  <c:v>2131.5563190062835</c:v>
                </c:pt>
                <c:pt idx="675">
                  <c:v>2130.5511811771839</c:v>
                </c:pt>
                <c:pt idx="676">
                  <c:v>2129.4486793742785</c:v>
                </c:pt>
                <c:pt idx="677">
                  <c:v>2128.2488895307497</c:v>
                </c:pt>
                <c:pt idx="678">
                  <c:v>2126.9518888257858</c:v>
                </c:pt>
                <c:pt idx="679">
                  <c:v>2125.5577557895413</c:v>
                </c:pt>
                <c:pt idx="680">
                  <c:v>2124.0665704040748</c:v>
                </c:pt>
                <c:pt idx="681">
                  <c:v>2122.4784142001672</c:v>
                </c:pt>
                <c:pt idx="682">
                  <c:v>2120.7933703499452</c:v>
                </c:pt>
                <c:pt idx="683">
                  <c:v>2119.0115237552668</c:v>
                </c:pt>
                <c:pt idx="684">
                  <c:v>2117.1329611318588</c:v>
                </c:pt>
                <c:pt idx="685">
                  <c:v>2115.1577710892143</c:v>
                </c:pt>
                <c:pt idx="686">
                  <c:v>2113.0860442062867</c:v>
                </c:pt>
                <c:pt idx="687">
                  <c:v>2110.9178731030338</c:v>
                </c:pt>
                <c:pt idx="688">
                  <c:v>2108.6533525078858</c:v>
                </c:pt>
                <c:pt idx="689">
                  <c:v>2106.2925793212257</c:v>
                </c:pt>
                <c:pt idx="690">
                  <c:v>2103.8356526749849</c:v>
                </c:pt>
                <c:pt idx="691">
                  <c:v>2101.2826739884617</c:v>
                </c:pt>
                <c:pt idx="692">
                  <c:v>2098.6337470204894</c:v>
                </c:pt>
                <c:pt idx="693">
                  <c:v>2095.8889779180786</c:v>
                </c:pt>
                <c:pt idx="694">
                  <c:v>2093.0484752616621</c:v>
                </c:pt>
                <c:pt idx="695">
                  <c:v>2090.1123501070833</c:v>
                </c:pt>
                <c:pt idx="696">
                  <c:v>2087.080716024459</c:v>
                </c:pt>
                <c:pt idx="697">
                  <c:v>2083.9536891340535</c:v>
                </c:pt>
                <c:pt idx="698">
                  <c:v>2080.7313881393034</c:v>
                </c:pt>
                <c:pt idx="699">
                  <c:v>2077.4139343571187</c:v>
                </c:pt>
                <c:pt idx="700">
                  <c:v>2074.001451745597</c:v>
                </c:pt>
                <c:pt idx="701">
                  <c:v>2070.4940669292755</c:v>
                </c:pt>
                <c:pt idx="702">
                  <c:v>2066.891909222044</c:v>
                </c:pt>
                <c:pt idx="703">
                  <c:v>2063.1951106478364</c:v>
                </c:pt>
                <c:pt idx="704">
                  <c:v>2059.4038059592199</c:v>
                </c:pt>
                <c:pt idx="705">
                  <c:v>2055.5181326539832</c:v>
                </c:pt>
                <c:pt idx="706">
                  <c:v>2051.5382309898391</c:v>
                </c:pt>
                <c:pt idx="707">
                  <c:v>2047.4642439973306</c:v>
                </c:pt>
                <c:pt idx="708">
                  <c:v>2043.2963174910437</c:v>
                </c:pt>
                <c:pt idx="709">
                  <c:v>2039.0346000792129</c:v>
                </c:pt>
                <c:pt idx="710">
                  <c:v>2034.6792431718043</c:v>
                </c:pt>
                <c:pt idx="711">
                  <c:v>2030.2304009871609</c:v>
                </c:pt>
                <c:pt idx="712">
                  <c:v>2025.6882305572806</c:v>
                </c:pt>
                <c:pt idx="713">
                  <c:v>2021.0528917318036</c:v>
                </c:pt>
                <c:pt idx="714">
                  <c:v>2016.3245471807734</c:v>
                </c:pt>
                <c:pt idx="715">
                  <c:v>2011.5033623962379</c:v>
                </c:pt>
                <c:pt idx="716">
                  <c:v>2006.5895056927475</c:v>
                </c:pt>
                <c:pt idx="717">
                  <c:v>2001.5831482068077</c:v>
                </c:pt>
                <c:pt idx="718">
                  <c:v>1996.48446389534</c:v>
                </c:pt>
                <c:pt idx="719">
                  <c:v>1991.2936295331983</c:v>
                </c:pt>
                <c:pt idx="720">
                  <c:v>1986.0108247097892</c:v>
                </c:pt>
                <c:pt idx="721">
                  <c:v>1980.6362318248375</c:v>
                </c:pt>
                <c:pt idx="722">
                  <c:v>1975.1700360833408</c:v>
                </c:pt>
                <c:pt idx="723">
                  <c:v>1969.6124254897481</c:v>
                </c:pt>
                <c:pt idx="724">
                  <c:v>1963.9635908414004</c:v>
                </c:pt>
                <c:pt idx="725">
                  <c:v>1958.2237257212664</c:v>
                </c:pt>
                <c:pt idx="726">
                  <c:v>1952.3930264900041</c:v>
                </c:pt>
                <c:pt idx="727">
                  <c:v>1946.4716922773789</c:v>
                </c:pt>
                <c:pt idx="728">
                  <c:v>1940.459924973065</c:v>
                </c:pt>
                <c:pt idx="729">
                  <c:v>1934.3579292168567</c:v>
                </c:pt>
                <c:pt idx="730">
                  <c:v>1928.1659123883139</c:v>
                </c:pt>
                <c:pt idx="731">
                  <c:v>1921.8840845958644</c:v>
                </c:pt>
                <c:pt idx="732">
                  <c:v>1915.5126586653844</c:v>
                </c:pt>
                <c:pt idx="733">
                  <c:v>1909.0518501282788</c:v>
                </c:pt>
                <c:pt idx="734">
                  <c:v>1902.5018772090787</c:v>
                </c:pt>
                <c:pt idx="735">
                  <c:v>1895.8629608125741</c:v>
                </c:pt>
                <c:pt idx="736">
                  <c:v>1889.1353245105011</c:v>
                </c:pt>
                <c:pt idx="737">
                  <c:v>1882.3191945277956</c:v>
                </c:pt>
                <c:pt idx="738">
                  <c:v>1875.4147997284324</c:v>
                </c:pt>
                <c:pt idx="739">
                  <c:v>1868.422371600861</c:v>
                </c:pt>
                <c:pt idx="740">
                  <c:v>1861.3421442430538</c:v>
                </c:pt>
                <c:pt idx="741">
                  <c:v>1854.1743543471778</c:v>
                </c:pt>
                <c:pt idx="742">
                  <c:v>1846.9192411839019</c:v>
                </c:pt>
                <c:pt idx="743">
                  <c:v>1839.5770465863532</c:v>
                </c:pt>
                <c:pt idx="744">
                  <c:v>1832.1480149337299</c:v>
                </c:pt>
                <c:pt idx="745">
                  <c:v>1824.6323931345846</c:v>
                </c:pt>
                <c:pt idx="746">
                  <c:v>1817.0304306097853</c:v>
                </c:pt>
                <c:pt idx="747">
                  <c:v>1809.3423792751639</c:v>
                </c:pt>
                <c:pt idx="748">
                  <c:v>1801.5684935238633</c:v>
                </c:pt>
                <c:pt idx="749">
                  <c:v>1793.7090302083875</c:v>
                </c:pt>
                <c:pt idx="750">
                  <c:v>1785.7642486223674</c:v>
                </c:pt>
                <c:pt idx="751">
                  <c:v>1777.7344104820468</c:v>
                </c:pt>
                <c:pt idx="752">
                  <c:v>1769.6197799074978</c:v>
                </c:pt>
                <c:pt idx="753">
                  <c:v>1761.4206234035723</c:v>
                </c:pt>
                <c:pt idx="754">
                  <c:v>1753.1372098405966</c:v>
                </c:pt>
                <c:pt idx="755">
                  <c:v>1744.7698104348156</c:v>
                </c:pt>
                <c:pt idx="756">
                  <c:v>1736.3186987285935</c:v>
                </c:pt>
                <c:pt idx="757">
                  <c:v>1727.7841505703771</c:v>
                </c:pt>
                <c:pt idx="758">
                  <c:v>1719.1664440944273</c:v>
                </c:pt>
                <c:pt idx="759">
                  <c:v>1710.4658597003252</c:v>
                </c:pt>
                <c:pt idx="760">
                  <c:v>1701.6826800322578</c:v>
                </c:pt>
                <c:pt idx="761">
                  <c:v>1692.8171899580907</c:v>
                </c:pt>
                <c:pt idx="762">
                  <c:v>1683.8696765482298</c:v>
                </c:pt>
                <c:pt idx="763">
                  <c:v>1674.8404290542805</c:v>
                </c:pt>
                <c:pt idx="764">
                  <c:v>1665.7297388875081</c:v>
                </c:pt>
                <c:pt idx="765">
                  <c:v>1656.5378995971037</c:v>
                </c:pt>
                <c:pt idx="766">
                  <c:v>1647.2652068482616</c:v>
                </c:pt>
                <c:pt idx="767">
                  <c:v>1637.9119584000739</c:v>
                </c:pt>
                <c:pt idx="768">
                  <c:v>1628.4784540832427</c:v>
                </c:pt>
                <c:pt idx="769">
                  <c:v>1618.964995777621</c:v>
                </c:pt>
                <c:pt idx="770">
                  <c:v>1609.3718873895803</c:v>
                </c:pt>
                <c:pt idx="771">
                  <c:v>1599.6994348292144</c:v>
                </c:pt>
                <c:pt idx="772">
                  <c:v>1589.9479459873805</c:v>
                </c:pt>
                <c:pt idx="773">
                  <c:v>1580.1177307125838</c:v>
                </c:pt>
                <c:pt idx="774">
                  <c:v>1570.2091007877079</c:v>
                </c:pt>
                <c:pt idx="775">
                  <c:v>1560.2223699065983</c:v>
                </c:pt>
                <c:pt idx="776">
                  <c:v>1550.1578536504992</c:v>
                </c:pt>
                <c:pt idx="777">
                  <c:v>1540.0158694643524</c:v>
                </c:pt>
                <c:pt idx="778">
                  <c:v>1529.796736632956</c:v>
                </c:pt>
                <c:pt idx="779">
                  <c:v>1519.5007762569944</c:v>
                </c:pt>
                <c:pt idx="780">
                  <c:v>1509.1283112289368</c:v>
                </c:pt>
                <c:pt idx="781">
                  <c:v>1498.6796662088132</c:v>
                </c:pt>
                <c:pt idx="782">
                  <c:v>1488.1551675998685</c:v>
                </c:pt>
                <c:pt idx="783">
                  <c:v>1477.5551435241</c:v>
                </c:pt>
                <c:pt idx="784">
                  <c:v>1466.8799237976827</c:v>
                </c:pt>
                <c:pt idx="785">
                  <c:v>1456.1298399062841</c:v>
                </c:pt>
                <c:pt idx="786">
                  <c:v>1445.3052249802752</c:v>
                </c:pt>
                <c:pt idx="787">
                  <c:v>1434.4064137698385</c:v>
                </c:pt>
                <c:pt idx="788">
                  <c:v>1423.4337426199797</c:v>
                </c:pt>
                <c:pt idx="789">
                  <c:v>1412.3875494454444</c:v>
                </c:pt>
                <c:pt idx="790">
                  <c:v>1401.2681737055448</c:v>
                </c:pt>
                <c:pt idx="791">
                  <c:v>1390.0759563788993</c:v>
                </c:pt>
                <c:pt idx="792">
                  <c:v>1378.8112399380907</c:v>
                </c:pt>
                <c:pt idx="793">
                  <c:v>1367.4743683242432</c:v>
                </c:pt>
                <c:pt idx="794">
                  <c:v>1356.0656869215259</c:v>
                </c:pt>
                <c:pt idx="795">
                  <c:v>1344.5855425315829</c:v>
                </c:pt>
                <c:pt idx="796">
                  <c:v>1333.0342833478956</c:v>
                </c:pt>
                <c:pt idx="797">
                  <c:v>1321.412258930081</c:v>
                </c:pt>
                <c:pt idx="798">
                  <c:v>1309.7198201781287</c:v>
                </c:pt>
                <c:pt idx="799">
                  <c:v>1297.9573193065803</c:v>
                </c:pt>
                <c:pt idx="800">
                  <c:v>1286.1251098186556</c:v>
                </c:pt>
                <c:pt idx="801">
                  <c:v>1274.2235464803284</c:v>
                </c:pt>
                <c:pt idx="802">
                  <c:v>1262.2529852943558</c:v>
                </c:pt>
                <c:pt idx="803">
                  <c:v>1250.2137834742646</c:v>
                </c:pt>
                <c:pt idx="804">
                  <c:v>1238.1062994182987</c:v>
                </c:pt>
                <c:pt idx="805">
                  <c:v>1225.9308926833301</c:v>
                </c:pt>
                <c:pt idx="806">
                  <c:v>1213.6879239587377</c:v>
                </c:pt>
                <c:pt idx="807">
                  <c:v>1201.3777550402583</c:v>
                </c:pt>
                <c:pt idx="808">
                  <c:v>1189.0007488038113</c:v>
                </c:pt>
                <c:pt idx="809">
                  <c:v>1176.5572691793031</c:v>
                </c:pt>
                <c:pt idx="810">
                  <c:v>1164.0476811244114</c:v>
                </c:pt>
                <c:pt idx="811">
                  <c:v>1151.4723505983573</c:v>
                </c:pt>
                <c:pt idx="812">
                  <c:v>1138.8316445356643</c:v>
                </c:pt>
                <c:pt idx="813">
                  <c:v>1126.1259308199114</c:v>
                </c:pt>
                <c:pt idx="814">
                  <c:v>1113.3555782574808</c:v>
                </c:pt>
                <c:pt idx="815">
                  <c:v>1100.5209565513053</c:v>
                </c:pt>
                <c:pt idx="816">
                  <c:v>1087.6224362746191</c:v>
                </c:pt>
                <c:pt idx="817">
                  <c:v>1074.6603888447139</c:v>
                </c:pt>
                <c:pt idx="818">
                  <c:v>1061.635186496706</c:v>
                </c:pt>
                <c:pt idx="819">
                  <c:v>1048.5472022573153</c:v>
                </c:pt>
                <c:pt idx="820">
                  <c:v>1035.3968099186616</c:v>
                </c:pt>
                <c:pt idx="821">
                  <c:v>1022.1843840120802</c:v>
                </c:pt>
                <c:pt idx="822">
                  <c:v>1008.910299781962</c:v>
                </c:pt>
                <c:pt idx="823">
                  <c:v>995.57493315961904</c:v>
                </c:pt>
                <c:pt idx="824">
                  <c:v>982.17866073718119</c:v>
                </c:pt>
                <c:pt idx="825">
                  <c:v>968.72185974152512</c:v>
                </c:pt>
                <c:pt idx="826">
                  <c:v>955.20490800824132</c:v>
                </c:pt>
                <c:pt idx="827">
                  <c:v>941.62818395564022</c:v>
                </c:pt>
                <c:pt idx="828">
                  <c:v>927.99206655880221</c:v>
                </c:pt>
                <c:pt idx="829">
                  <c:v>914.29693532367412</c:v>
                </c:pt>
                <c:pt idx="830">
                  <c:v>900.54317026121544</c:v>
                </c:pt>
                <c:pt idx="831">
                  <c:v>886.73115186159839</c:v>
                </c:pt>
                <c:pt idx="832">
                  <c:v>872.86126106846348</c:v>
                </c:pt>
                <c:pt idx="833">
                  <c:v>858.93387925323543</c:v>
                </c:pt>
                <c:pt idx="834">
                  <c:v>844.94938818950152</c:v>
                </c:pt>
                <c:pt idx="835">
                  <c:v>830.90817002745587</c:v>
                </c:pt>
                <c:pt idx="836">
                  <c:v>816.81060726841315</c:v>
                </c:pt>
                <c:pt idx="837">
                  <c:v>802.65708273939424</c:v>
                </c:pt>
                <c:pt idx="838">
                  <c:v>788.44797956778746</c:v>
                </c:pt>
                <c:pt idx="839">
                  <c:v>774.18368115608791</c:v>
                </c:pt>
                <c:pt idx="840">
                  <c:v>759.86457115671885</c:v>
                </c:pt>
                <c:pt idx="841">
                  <c:v>745.49103344693719</c:v>
                </c:pt>
                <c:pt idx="842">
                  <c:v>731.06345210382653</c:v>
                </c:pt>
                <c:pt idx="843">
                  <c:v>716.58221137938096</c:v>
                </c:pt>
                <c:pt idx="844">
                  <c:v>702.04769567568235</c:v>
                </c:pt>
                <c:pt idx="845">
                  <c:v>687.46028952017366</c:v>
                </c:pt>
                <c:pt idx="846">
                  <c:v>672.82037754103237</c:v>
                </c:pt>
                <c:pt idx="847">
                  <c:v>658.12834444264524</c:v>
                </c:pt>
                <c:pt idx="848">
                  <c:v>643.38457498118896</c:v>
                </c:pt>
                <c:pt idx="849">
                  <c:v>628.58945394031798</c:v>
                </c:pt>
                <c:pt idx="850">
                  <c:v>613.74336610696378</c:v>
                </c:pt>
                <c:pt idx="851">
                  <c:v>598.846696247247</c:v>
                </c:pt>
                <c:pt idx="852">
                  <c:v>583.89982908250613</c:v>
                </c:pt>
                <c:pt idx="853">
                  <c:v>568.90314926544488</c:v>
                </c:pt>
                <c:pt idx="854">
                  <c:v>553.85704135640151</c:v>
                </c:pt>
                <c:pt idx="855">
                  <c:v>538.76188979974188</c:v>
                </c:pt>
                <c:pt idx="856">
                  <c:v>523.61807890037994</c:v>
                </c:pt>
                <c:pt idx="857">
                  <c:v>508.4259928004272</c:v>
                </c:pt>
                <c:pt idx="858">
                  <c:v>493.18601545597426</c:v>
                </c:pt>
                <c:pt idx="859">
                  <c:v>477.89853061400703</c:v>
                </c:pt>
                <c:pt idx="860">
                  <c:v>462.56392178945981</c:v>
                </c:pt>
                <c:pt idx="861">
                  <c:v>447.18257224240773</c:v>
                </c:pt>
                <c:pt idx="862">
                  <c:v>431.75486495540105</c:v>
                </c:pt>
                <c:pt idx="863">
                  <c:v>416.28118261094374</c:v>
                </c:pt>
                <c:pt idx="864">
                  <c:v>400.76190756911842</c:v>
                </c:pt>
                <c:pt idx="865">
                  <c:v>385.1974218453604</c:v>
                </c:pt>
                <c:pt idx="866">
                  <c:v>369.58810708838257</c:v>
                </c:pt>
                <c:pt idx="867">
                  <c:v>353.93434455825383</c:v>
                </c:pt>
                <c:pt idx="868">
                  <c:v>338.23651510463282</c:v>
                </c:pt>
                <c:pt idx="869">
                  <c:v>322.49499914515951</c:v>
                </c:pt>
                <c:pt idx="870">
                  <c:v>306.71017664400654</c:v>
                </c:pt>
                <c:pt idx="871">
                  <c:v>290.88242709059233</c:v>
                </c:pt>
                <c:pt idx="872">
                  <c:v>275.01212947845835</c:v>
                </c:pt>
                <c:pt idx="873">
                  <c:v>259.09966228431176</c:v>
                </c:pt>
                <c:pt idx="874">
                  <c:v>243.14540344723656</c:v>
                </c:pt>
                <c:pt idx="875">
                  <c:v>227.149730348074</c:v>
                </c:pt>
                <c:pt idx="876">
                  <c:v>211.11301978897484</c:v>
                </c:pt>
                <c:pt idx="877">
                  <c:v>195.03564797312512</c:v>
                </c:pt>
                <c:pt idx="878">
                  <c:v>178.91799048464708</c:v>
                </c:pt>
                <c:pt idx="879">
                  <c:v>162.76042226867722</c:v>
                </c:pt>
                <c:pt idx="880">
                  <c:v>146.56331761162301</c:v>
                </c:pt>
                <c:pt idx="881">
                  <c:v>130.32705012160008</c:v>
                </c:pt>
                <c:pt idx="882">
                  <c:v>114.05199270905139</c:v>
                </c:pt>
                <c:pt idx="883">
                  <c:v>97.738517567550076</c:v>
                </c:pt>
                <c:pt idx="884">
                  <c:v>81.386996154787397</c:v>
                </c:pt>
                <c:pt idx="885">
                  <c:v>64.997799173747396</c:v>
                </c:pt>
                <c:pt idx="886">
                  <c:v>48.571296554069662</c:v>
                </c:pt>
                <c:pt idx="887">
                  <c:v>32.107857433601637</c:v>
                </c:pt>
                <c:pt idx="888">
                  <c:v>15.607850140141867</c:v>
                </c:pt>
                <c:pt idx="889">
                  <c:v>-0.92835782662458399</c:v>
                </c:pt>
                <c:pt idx="890">
                  <c:v>-0.94491206098317293</c:v>
                </c:pt>
                <c:pt idx="891">
                  <c:v>-0.96146633099248613</c:v>
                </c:pt>
                <c:pt idx="892">
                  <c:v>-0.97802063665215921</c:v>
                </c:pt>
                <c:pt idx="893">
                  <c:v>-0.9945749779618277</c:v>
                </c:pt>
                <c:pt idx="894">
                  <c:v>-1.0111293549211271</c:v>
                </c:pt>
                <c:pt idx="895">
                  <c:v>-1.027683767529693</c:v>
                </c:pt>
                <c:pt idx="896">
                  <c:v>-1.044238215787161</c:v>
                </c:pt>
                <c:pt idx="897">
                  <c:v>-1.0607926996931669</c:v>
                </c:pt>
                <c:pt idx="898">
                  <c:v>-1.0773472192473461</c:v>
                </c:pt>
                <c:pt idx="899">
                  <c:v>-1.093901774449334</c:v>
                </c:pt>
                <c:pt idx="900">
                  <c:v>-1.1104563652987665</c:v>
                </c:pt>
                <c:pt idx="901">
                  <c:v>-1.1270109917952789</c:v>
                </c:pt>
                <c:pt idx="902">
                  <c:v>-1.1435656539385068</c:v>
                </c:pt>
                <c:pt idx="903">
                  <c:v>-1.160120351728086</c:v>
                </c:pt>
                <c:pt idx="904">
                  <c:v>-1.176675085163652</c:v>
                </c:pt>
                <c:pt idx="905">
                  <c:v>-1.1932298542448403</c:v>
                </c:pt>
                <c:pt idx="906">
                  <c:v>-1.2097846589712864</c:v>
                </c:pt>
                <c:pt idx="907">
                  <c:v>-1.2263394993426262</c:v>
                </c:pt>
                <c:pt idx="908">
                  <c:v>-1.2428943753584951</c:v>
                </c:pt>
                <c:pt idx="909">
                  <c:v>-1.2594492870185285</c:v>
                </c:pt>
                <c:pt idx="910">
                  <c:v>-1.2760042343223623</c:v>
                </c:pt>
                <c:pt idx="911">
                  <c:v>-1.2925592172696319</c:v>
                </c:pt>
                <c:pt idx="912">
                  <c:v>-1.309114235859973</c:v>
                </c:pt>
                <c:pt idx="913">
                  <c:v>-1.3256692900930211</c:v>
                </c:pt>
                <c:pt idx="914">
                  <c:v>-1.3422243799684119</c:v>
                </c:pt>
                <c:pt idx="915">
                  <c:v>-1.358779505485781</c:v>
                </c:pt>
                <c:pt idx="916">
                  <c:v>-1.3753346666447637</c:v>
                </c:pt>
                <c:pt idx="917">
                  <c:v>-1.3918898634449959</c:v>
                </c:pt>
                <c:pt idx="918">
                  <c:v>-1.408445095886113</c:v>
                </c:pt>
                <c:pt idx="919">
                  <c:v>-1.4250003639677509</c:v>
                </c:pt>
                <c:pt idx="920">
                  <c:v>-1.4415556676895449</c:v>
                </c:pt>
                <c:pt idx="921">
                  <c:v>-1.4581110070511307</c:v>
                </c:pt>
                <c:pt idx="922">
                  <c:v>-1.474666382052144</c:v>
                </c:pt>
                <c:pt idx="923">
                  <c:v>-1.4912217926922202</c:v>
                </c:pt>
                <c:pt idx="924">
                  <c:v>-1.5077772389709949</c:v>
                </c:pt>
                <c:pt idx="925">
                  <c:v>-1.5243327208881039</c:v>
                </c:pt>
                <c:pt idx="926">
                  <c:v>-1.5408882384431826</c:v>
                </c:pt>
                <c:pt idx="927">
                  <c:v>-1.5574437916358668</c:v>
                </c:pt>
                <c:pt idx="928">
                  <c:v>-1.5739993804657919</c:v>
                </c:pt>
                <c:pt idx="929">
                  <c:v>-1.5905550049325936</c:v>
                </c:pt>
                <c:pt idx="930">
                  <c:v>-1.6071106650359075</c:v>
                </c:pt>
                <c:pt idx="931">
                  <c:v>-1.6236663607753692</c:v>
                </c:pt>
                <c:pt idx="932">
                  <c:v>-1.6402220921506143</c:v>
                </c:pt>
                <c:pt idx="933">
                  <c:v>-1.6567778591612785</c:v>
                </c:pt>
                <c:pt idx="934">
                  <c:v>-1.6733336618069974</c:v>
                </c:pt>
                <c:pt idx="935">
                  <c:v>-1.6898895000874066</c:v>
                </c:pt>
                <c:pt idx="936">
                  <c:v>-1.7064453740021415</c:v>
                </c:pt>
                <c:pt idx="937">
                  <c:v>-1.7230012835508379</c:v>
                </c:pt>
                <c:pt idx="938">
                  <c:v>-1.7395572287331313</c:v>
                </c:pt>
                <c:pt idx="939">
                  <c:v>-1.7561132095486576</c:v>
                </c:pt>
                <c:pt idx="940">
                  <c:v>-1.772669225997052</c:v>
                </c:pt>
                <c:pt idx="941">
                  <c:v>-1.7892252780779505</c:v>
                </c:pt>
                <c:pt idx="942">
                  <c:v>-1.8057813657909885</c:v>
                </c:pt>
                <c:pt idx="943">
                  <c:v>-1.8223374891358015</c:v>
                </c:pt>
                <c:pt idx="944">
                  <c:v>-1.8388936481120255</c:v>
                </c:pt>
                <c:pt idx="945">
                  <c:v>-1.8554498427192958</c:v>
                </c:pt>
                <c:pt idx="946">
                  <c:v>-1.8720060729572481</c:v>
                </c:pt>
                <c:pt idx="947">
                  <c:v>-1.8885623388255179</c:v>
                </c:pt>
                <c:pt idx="948">
                  <c:v>-1.905118640323741</c:v>
                </c:pt>
                <c:pt idx="949">
                  <c:v>-1.9216749774515529</c:v>
                </c:pt>
                <c:pt idx="950">
                  <c:v>-1.9382313502085895</c:v>
                </c:pt>
                <c:pt idx="951">
                  <c:v>-1.9547877585944862</c:v>
                </c:pt>
                <c:pt idx="952">
                  <c:v>-1.9713442026088785</c:v>
                </c:pt>
                <c:pt idx="953">
                  <c:v>-1.9879006822514023</c:v>
                </c:pt>
                <c:pt idx="954">
                  <c:v>-2.0044571975216932</c:v>
                </c:pt>
                <c:pt idx="955">
                  <c:v>-2.0210137484193864</c:v>
                </c:pt>
                <c:pt idx="956">
                  <c:v>-2.0375703349441179</c:v>
                </c:pt>
                <c:pt idx="957">
                  <c:v>-2.0541269570955234</c:v>
                </c:pt>
                <c:pt idx="958">
                  <c:v>-2.0706836148732384</c:v>
                </c:pt>
                <c:pt idx="959">
                  <c:v>-2.0872403082768982</c:v>
                </c:pt>
                <c:pt idx="960">
                  <c:v>-2.1037970373061392</c:v>
                </c:pt>
                <c:pt idx="961">
                  <c:v>-2.1203538019605963</c:v>
                </c:pt>
                <c:pt idx="962">
                  <c:v>-2.1369106022399054</c:v>
                </c:pt>
                <c:pt idx="963">
                  <c:v>-2.1534674381437022</c:v>
                </c:pt>
                <c:pt idx="964">
                  <c:v>-2.1700243096716223</c:v>
                </c:pt>
                <c:pt idx="965">
                  <c:v>-2.1865812168233014</c:v>
                </c:pt>
                <c:pt idx="966">
                  <c:v>-2.203138159598375</c:v>
                </c:pt>
                <c:pt idx="967">
                  <c:v>-2.2196951379964789</c:v>
                </c:pt>
                <c:pt idx="968">
                  <c:v>-2.2362521520172485</c:v>
                </c:pt>
                <c:pt idx="969">
                  <c:v>-2.2528092016603196</c:v>
                </c:pt>
                <c:pt idx="970">
                  <c:v>-2.2693662869253277</c:v>
                </c:pt>
                <c:pt idx="971">
                  <c:v>-2.2859234078119086</c:v>
                </c:pt>
                <c:pt idx="972">
                  <c:v>-2.3024805643196982</c:v>
                </c:pt>
                <c:pt idx="973">
                  <c:v>-2.3190377564483318</c:v>
                </c:pt>
                <c:pt idx="974">
                  <c:v>-2.3355949841974448</c:v>
                </c:pt>
                <c:pt idx="975">
                  <c:v>-2.3521522475666732</c:v>
                </c:pt>
                <c:pt idx="976">
                  <c:v>-2.3687095465556527</c:v>
                </c:pt>
                <c:pt idx="977">
                  <c:v>-2.3852668811640187</c:v>
                </c:pt>
                <c:pt idx="978">
                  <c:v>-2.4018242513914072</c:v>
                </c:pt>
                <c:pt idx="979">
                  <c:v>-2.4183816572374535</c:v>
                </c:pt>
                <c:pt idx="980">
                  <c:v>-2.4349390987017934</c:v>
                </c:pt>
                <c:pt idx="981">
                  <c:v>-2.4514965757840623</c:v>
                </c:pt>
                <c:pt idx="982">
                  <c:v>-2.4680540884838962</c:v>
                </c:pt>
                <c:pt idx="983">
                  <c:v>-2.4846116368009308</c:v>
                </c:pt>
                <c:pt idx="984">
                  <c:v>-2.5011692207348015</c:v>
                </c:pt>
                <c:pt idx="985">
                  <c:v>-2.5177268402851438</c:v>
                </c:pt>
                <c:pt idx="986">
                  <c:v>-2.534284495451594</c:v>
                </c:pt>
                <c:pt idx="987">
                  <c:v>-2.5508421862337869</c:v>
                </c:pt>
                <c:pt idx="988">
                  <c:v>-2.5673999126313589</c:v>
                </c:pt>
                <c:pt idx="989">
                  <c:v>-2.583957674643945</c:v>
                </c:pt>
                <c:pt idx="990">
                  <c:v>-2.6005154722711814</c:v>
                </c:pt>
                <c:pt idx="991">
                  <c:v>-2.6170733055127036</c:v>
                </c:pt>
                <c:pt idx="992">
                  <c:v>-2.6336311743681473</c:v>
                </c:pt>
                <c:pt idx="993">
                  <c:v>-2.650189078837148</c:v>
                </c:pt>
                <c:pt idx="994">
                  <c:v>-2.6667470189193416</c:v>
                </c:pt>
                <c:pt idx="995">
                  <c:v>-2.6833049946143634</c:v>
                </c:pt>
                <c:pt idx="996">
                  <c:v>-2.6998630059218494</c:v>
                </c:pt>
                <c:pt idx="997">
                  <c:v>-2.7164210528414348</c:v>
                </c:pt>
                <c:pt idx="998">
                  <c:v>-2.7329791353727555</c:v>
                </c:pt>
                <c:pt idx="999">
                  <c:v>-2.7495372535154474</c:v>
                </c:pt>
                <c:pt idx="1000">
                  <c:v>-2.7660954072691459</c:v>
                </c:pt>
              </c:numCache>
            </c:numRef>
          </c:yVal>
          <c:smooth val="1"/>
          <c:extLst>
            <c:ext xmlns:c16="http://schemas.microsoft.com/office/drawing/2014/chart" uri="{C3380CC4-5D6E-409C-BE32-E72D297353CC}">
              <c16:uniqueId val="{00000001-3E62-4C97-96C4-8569A9DB8ECB}"/>
            </c:ext>
          </c:extLst>
        </c:ser>
        <c:ser>
          <c:idx val="2"/>
          <c:order val="2"/>
          <c:tx>
            <c:strRef>
              <c:f>Trajecto!$B$107</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0</c:v>
                </c:pt>
                <c:pt idx="1">
                  <c:v>4.6635792022015819E-5</c:v>
                </c:pt>
                <c:pt idx="2">
                  <c:v>3.3053071122203872E-4</c:v>
                </c:pt>
                <c:pt idx="3">
                  <c:v>1.05542840233453E-3</c:v>
                </c:pt>
                <c:pt idx="4">
                  <c:v>2.3408774114336492E-3</c:v>
                </c:pt>
                <c:pt idx="5">
                  <c:v>4.30650497443269E-3</c:v>
                </c:pt>
                <c:pt idx="6">
                  <c:v>7.0720289912428996E-3</c:v>
                </c:pt>
                <c:pt idx="7">
                  <c:v>1.0757269933738345E-2</c:v>
                </c:pt>
                <c:pt idx="8">
                  <c:v>1.5482162691208855E-2</c:v>
                </c:pt>
                <c:pt idx="9">
                  <c:v>2.1366768356910766E-2</c:v>
                </c:pt>
                <c:pt idx="10">
                  <c:v>2.8531285959255831E-2</c:v>
                </c:pt>
                <c:pt idx="11">
                  <c:v>3.7061692603555962E-2</c:v>
                </c:pt>
                <c:pt idx="12">
                  <c:v>4.697531747071082E-2</c:v>
                </c:pt>
                <c:pt idx="13">
                  <c:v>5.8254860481949264E-2</c:v>
                </c:pt>
                <c:pt idx="14">
                  <c:v>7.0882471003096081E-2</c:v>
                </c:pt>
                <c:pt idx="15">
                  <c:v>8.4840009270433614E-2</c:v>
                </c:pt>
                <c:pt idx="16">
                  <c:v>0.10010930828076549</c:v>
                </c:pt>
                <c:pt idx="17">
                  <c:v>0.11667217421698536</c:v>
                </c:pt>
                <c:pt idx="18">
                  <c:v>0.13451038687331207</c:v>
                </c:pt>
                <c:pt idx="19">
                  <c:v>0.15360570008014851</c:v>
                </c:pt>
                <c:pt idx="20">
                  <c:v>0.17393984212852193</c:v>
                </c:pt>
                <c:pt idx="21">
                  <c:v>0.19549451619406341</c:v>
                </c:pt>
                <c:pt idx="22">
                  <c:v>0.21825140076048477</c:v>
                </c:pt>
                <c:pt idx="23">
                  <c:v>0.24219215004251099</c:v>
                </c:pt>
                <c:pt idx="24">
                  <c:v>0.26729839440822711</c:v>
                </c:pt>
                <c:pt idx="25">
                  <c:v>0.29355174080079821</c:v>
                </c:pt>
                <c:pt idx="26">
                  <c:v>0.3209337731595216</c:v>
                </c:pt>
                <c:pt idx="27">
                  <c:v>0.34943066512699317</c:v>
                </c:pt>
                <c:pt idx="28">
                  <c:v>0.37903779914555835</c:v>
                </c:pt>
                <c:pt idx="29">
                  <c:v>0.40975516387531019</c:v>
                </c:pt>
                <c:pt idx="30">
                  <c:v>0.44158274501109435</c:v>
                </c:pt>
                <c:pt idx="31">
                  <c:v>0.47452052527982014</c:v>
                </c:pt>
                <c:pt idx="32">
                  <c:v>0.50856848443781055</c:v>
                </c:pt>
                <c:pt idx="33">
                  <c:v>0.54372659926819134</c:v>
                </c:pt>
                <c:pt idx="34">
                  <c:v>0.5799948435783191</c:v>
                </c:pt>
                <c:pt idx="35">
                  <c:v>0.61737318819724873</c:v>
                </c:pt>
                <c:pt idx="36">
                  <c:v>0.6558616009732402</c:v>
                </c:pt>
                <c:pt idx="37">
                  <c:v>0.6954600467713048</c:v>
                </c:pt>
                <c:pt idx="38">
                  <c:v>0.7362523988749804</c:v>
                </c:pt>
                <c:pt idx="39">
                  <c:v>0.77832508994766991</c:v>
                </c:pt>
                <c:pt idx="40">
                  <c:v>0.82168317698969062</c:v>
                </c:pt>
                <c:pt idx="41">
                  <c:v>0.86633163485555842</c:v>
                </c:pt>
                <c:pt idx="42">
                  <c:v>0.9122753269102627</c:v>
                </c:pt>
                <c:pt idx="43">
                  <c:v>0.95951900992857087</c:v>
                </c:pt>
                <c:pt idx="44">
                  <c:v>1.0080673386582437</c:v>
                </c:pt>
                <c:pt idx="45">
                  <c:v>1.0579248700775132</c:v>
                </c:pt>
                <c:pt idx="46">
                  <c:v>1.109096067373802</c:v>
                </c:pt>
                <c:pt idx="47">
                  <c:v>1.1615853036677335</c:v>
                </c:pt>
                <c:pt idx="48">
                  <c:v>1.2153968655039262</c:v>
                </c:pt>
                <c:pt idx="49">
                  <c:v>1.2705349561278296</c:v>
                </c:pt>
                <c:pt idx="50">
                  <c:v>1.3270036985659022</c:v>
                </c:pt>
                <c:pt idx="51">
                  <c:v>1.3848071385247041</c:v>
                </c:pt>
                <c:pt idx="52">
                  <c:v>1.443949247122958</c:v>
                </c:pt>
                <c:pt idx="53">
                  <c:v>1.5044339234692841</c:v>
                </c:pt>
                <c:pt idx="54">
                  <c:v>1.5662649970971225</c:v>
                </c:pt>
                <c:pt idx="55">
                  <c:v>1.6294462302672985</c:v>
                </c:pt>
                <c:pt idx="56">
                  <c:v>1.6939813201477345</c:v>
                </c:pt>
                <c:pt idx="57">
                  <c:v>1.7598739008789757</c:v>
                </c:pt>
                <c:pt idx="58">
                  <c:v>1.8271275455334377</c:v>
                </c:pt>
                <c:pt idx="59">
                  <c:v>1.8957457679756073</c:v>
                </c:pt>
                <c:pt idx="60">
                  <c:v>1.9657320246298193</c:v>
                </c:pt>
                <c:pt idx="61">
                  <c:v>2.037089716161685</c:v>
                </c:pt>
                <c:pt idx="62">
                  <c:v>2.1098221890787556</c:v>
                </c:pt>
                <c:pt idx="63">
                  <c:v>2.1839327372555513</c:v>
                </c:pt>
                <c:pt idx="64">
                  <c:v>2.2594246033876915</c:v>
                </c:pt>
                <c:pt idx="65">
                  <c:v>2.3363009803794887</c:v>
                </c:pt>
                <c:pt idx="66">
                  <c:v>2.4145650126690357</c:v>
                </c:pt>
                <c:pt idx="67">
                  <c:v>2.4942197974945213</c:v>
                </c:pt>
                <c:pt idx="68">
                  <c:v>2.5752683861052228</c:v>
                </c:pt>
                <c:pt idx="69">
                  <c:v>2.65771378492038</c:v>
                </c:pt>
                <c:pt idx="70">
                  <c:v>2.7415589566389245</c:v>
                </c:pt>
                <c:pt idx="71">
                  <c:v>2.8268068213028248</c:v>
                </c:pt>
                <c:pt idx="72">
                  <c:v>2.9134601992840219</c:v>
                </c:pt>
                <c:pt idx="73">
                  <c:v>3.0015217537881251</c:v>
                </c:pt>
                <c:pt idx="74">
                  <c:v>3.0909940492400687</c:v>
                </c:pt>
                <c:pt idx="75">
                  <c:v>3.1818796100866491</c:v>
                </c:pt>
                <c:pt idx="76">
                  <c:v>3.2741809216869906</c:v>
                </c:pt>
                <c:pt idx="77">
                  <c:v>3.3679004311686729</c:v>
                </c:pt>
                <c:pt idx="78">
                  <c:v>3.4630405482512807</c:v>
                </c:pt>
                <c:pt idx="79">
                  <c:v>3.5596036460390277</c:v>
                </c:pt>
                <c:pt idx="80">
                  <c:v>3.6575920617840025</c:v>
                </c:pt>
                <c:pt idx="81">
                  <c:v>3.7570080976214895</c:v>
                </c:pt>
                <c:pt idx="82">
                  <c:v>3.857854021278722</c:v>
                </c:pt>
                <c:pt idx="83">
                  <c:v>3.9601320667583542</c:v>
                </c:pt>
                <c:pt idx="84">
                  <c:v>4.0638444349978506</c:v>
                </c:pt>
                <c:pt idx="85">
                  <c:v>4.1689932945059294</c:v>
                </c:pt>
                <c:pt idx="86">
                  <c:v>4.275580781977121</c:v>
                </c:pt>
                <c:pt idx="87">
                  <c:v>4.3836090028854535</c:v>
                </c:pt>
                <c:pt idx="88">
                  <c:v>4.4930800320582076</c:v>
                </c:pt>
                <c:pt idx="89">
                  <c:v>4.6039959142306364</c:v>
                </c:pt>
                <c:pt idx="90">
                  <c:v>4.716358664582498</c:v>
                </c:pt>
                <c:pt idx="91">
                  <c:v>4.8301702692571951</c:v>
                </c:pt>
                <c:pt idx="92">
                  <c:v>4.9454326858642768</c:v>
                </c:pt>
                <c:pt idx="93">
                  <c:v>5.0621478439660219</c:v>
                </c:pt>
                <c:pt idx="94">
                  <c:v>5.1803176455487714</c:v>
                </c:pt>
                <c:pt idx="95">
                  <c:v>5.2999439654796587</c:v>
                </c:pt>
                <c:pt idx="96">
                  <c:v>5.4210286519493405</c:v>
                </c:pt>
                <c:pt idx="97">
                  <c:v>5.5435735269013042</c:v>
                </c:pt>
                <c:pt idx="98">
                  <c:v>5.667580386448301</c:v>
                </c:pt>
                <c:pt idx="99">
                  <c:v>5.7930510012764227</c:v>
                </c:pt>
                <c:pt idx="100">
                  <c:v>5.9199871170373131</c:v>
                </c:pt>
                <c:pt idx="101">
                  <c:v>6.0483904547289855</c:v>
                </c:pt>
                <c:pt idx="102">
                  <c:v>6.17826271106569</c:v>
                </c:pt>
                <c:pt idx="103">
                  <c:v>6.3096055588372586</c:v>
                </c:pt>
                <c:pt idx="104">
                  <c:v>6.4424206472583272</c:v>
                </c:pt>
                <c:pt idx="105">
                  <c:v>6.5767096023078224</c:v>
                </c:pt>
                <c:pt idx="106">
                  <c:v>6.7124740270590779</c:v>
                </c:pt>
                <c:pt idx="107">
                  <c:v>6.8497155020009313</c:v>
                </c:pt>
                <c:pt idx="108">
                  <c:v>6.9884355853501319</c:v>
                </c:pt>
                <c:pt idx="109">
                  <c:v>7.1286358133553858</c:v>
                </c:pt>
                <c:pt idx="110">
                  <c:v>7.2703177005933304</c:v>
                </c:pt>
                <c:pt idx="111">
                  <c:v>7.4134827402567351</c:v>
                </c:pt>
                <c:pt idx="112">
                  <c:v>7.5581324044352076</c:v>
                </c:pt>
                <c:pt idx="113">
                  <c:v>7.7042681443886654</c:v>
                </c:pt>
                <c:pt idx="114">
                  <c:v>7.8518913908138286</c:v>
                </c:pt>
                <c:pt idx="115">
                  <c:v>8.0010035541039777</c:v>
                </c:pt>
                <c:pt idx="116">
                  <c:v>8.1516060246022004</c:v>
                </c:pt>
                <c:pt idx="117">
                  <c:v>8.3037001728483713</c:v>
                </c:pt>
                <c:pt idx="118">
                  <c:v>8.4572873498200405</c:v>
                </c:pt>
                <c:pt idx="119">
                  <c:v>8.6123688871674791</c:v>
                </c:pt>
                <c:pt idx="120">
                  <c:v>8.7689460974430382</c:v>
                </c:pt>
                <c:pt idx="121">
                  <c:v>8.9270202743250326</c:v>
                </c:pt>
                <c:pt idx="122">
                  <c:v>9.086592692836323</c:v>
                </c:pt>
                <c:pt idx="123">
                  <c:v>9.2476646095577628</c:v>
                </c:pt>
                <c:pt idx="124">
                  <c:v>9.4102372628366862</c:v>
                </c:pt>
                <c:pt idx="125">
                  <c:v>9.5743118729905881</c:v>
                </c:pt>
                <c:pt idx="126">
                  <c:v>9.7398896425061476</c:v>
                </c:pt>
                <c:pt idx="127">
                  <c:v>9.9069717562337569</c:v>
                </c:pt>
                <c:pt idx="128">
                  <c:v>10.075559381577673</c:v>
                </c:pt>
                <c:pt idx="129">
                  <c:v>10.245653377123844</c:v>
                </c:pt>
                <c:pt idx="130">
                  <c:v>10.417253999907683</c:v>
                </c:pt>
                <c:pt idx="131">
                  <c:v>10.590361195354962</c:v>
                </c:pt>
                <c:pt idx="132">
                  <c:v>10.764974888597203</c:v>
                </c:pt>
                <c:pt idx="133">
                  <c:v>10.941094984686238</c:v>
                </c:pt>
                <c:pt idx="134">
                  <c:v>11.118721368804243</c:v>
                </c:pt>
                <c:pt idx="135">
                  <c:v>11.297853906469397</c:v>
                </c:pt>
                <c:pt idx="136">
                  <c:v>11.478492443737302</c:v>
                </c:pt>
                <c:pt idx="137">
                  <c:v>11.660636807398268</c:v>
                </c:pt>
                <c:pt idx="138">
                  <c:v>11.844286805170629</c:v>
                </c:pt>
                <c:pt idx="139">
                  <c:v>12.029442225890179</c:v>
                </c:pt>
                <c:pt idx="140">
                  <c:v>12.216102839695848</c:v>
                </c:pt>
                <c:pt idx="141">
                  <c:v>12.404268398211752</c:v>
                </c:pt>
                <c:pt idx="142">
                  <c:v>12.593938634725689</c:v>
                </c:pt>
                <c:pt idx="143">
                  <c:v>12.785113264364222</c:v>
                </c:pt>
                <c:pt idx="144">
                  <c:v>12.977791984264417</c:v>
                </c:pt>
                <c:pt idx="145">
                  <c:v>13.171974473742351</c:v>
                </c:pt>
                <c:pt idx="146">
                  <c:v>13.367660394458476</c:v>
                </c:pt>
                <c:pt idx="147">
                  <c:v>13.564849390579933</c:v>
                </c:pt>
                <c:pt idx="148">
                  <c:v>13.763541088939904</c:v>
                </c:pt>
                <c:pt idx="149">
                  <c:v>13.963735099194066</c:v>
                </c:pt>
                <c:pt idx="150">
                  <c:v>14.165431013974258</c:v>
                </c:pt>
                <c:pt idx="151">
                  <c:v>14.36862840903942</c:v>
                </c:pt>
                <c:pt idx="152">
                  <c:v>14.573326843423876</c:v>
                </c:pt>
                <c:pt idx="153">
                  <c:v>14.77952585958305</c:v>
                </c:pt>
                <c:pt idx="154">
                  <c:v>14.987224983536667</c:v>
                </c:pt>
                <c:pt idx="155">
                  <c:v>15.196423725009518</c:v>
                </c:pt>
                <c:pt idx="156">
                  <c:v>15.40712157756986</c:v>
                </c:pt>
                <c:pt idx="157">
                  <c:v>15.61931801876549</c:v>
                </c:pt>
                <c:pt idx="158">
                  <c:v>15.833012510257582</c:v>
                </c:pt>
                <c:pt idx="159">
                  <c:v>16.048204497952334</c:v>
                </c:pt>
                <c:pt idx="160">
                  <c:v>16.264893412130473</c:v>
                </c:pt>
                <c:pt idx="161">
                  <c:v>16.483078667574702</c:v>
                </c:pt>
                <c:pt idx="162">
                  <c:v>16.702759663695108</c:v>
                </c:pt>
                <c:pt idx="163">
                  <c:v>16.923935784652603</c:v>
                </c:pt>
                <c:pt idx="164">
                  <c:v>17.146606399480451</c:v>
                </c:pt>
                <c:pt idx="165">
                  <c:v>17.370770862203909</c:v>
                </c:pt>
                <c:pt idx="166">
                  <c:v>17.596428511958067</c:v>
                </c:pt>
                <c:pt idx="167">
                  <c:v>17.823578673103885</c:v>
                </c:pt>
                <c:pt idx="168">
                  <c:v>18.052220655342516</c:v>
                </c:pt>
                <c:pt idx="169">
                  <c:v>18.282353753827923</c:v>
                </c:pt>
                <c:pt idx="170">
                  <c:v>18.51397724927785</c:v>
                </c:pt>
                <c:pt idx="171">
                  <c:v>18.747090408083199</c:v>
                </c:pt>
                <c:pt idx="172">
                  <c:v>18.981692482415806</c:v>
                </c:pt>
                <c:pt idx="173">
                  <c:v>19.217782710334721</c:v>
                </c:pt>
                <c:pt idx="174">
                  <c:v>19.455360315890967</c:v>
                </c:pt>
                <c:pt idx="175">
                  <c:v>19.694424509230856</c:v>
                </c:pt>
                <c:pt idx="176">
                  <c:v>19.934974486697868</c:v>
                </c:pt>
                <c:pt idx="177">
                  <c:v>20.17700943093315</c:v>
                </c:pt>
                <c:pt idx="178">
                  <c:v>20.420528510974652</c:v>
                </c:pt>
                <c:pt idx="179">
                  <c:v>20.665530882354936</c:v>
                </c:pt>
                <c:pt idx="180">
                  <c:v>20.912015687197698</c:v>
                </c:pt>
                <c:pt idx="181">
                  <c:v>21.159982054313009</c:v>
                </c:pt>
                <c:pt idx="182">
                  <c:v>21.409429099291344</c:v>
                </c:pt>
                <c:pt idx="183">
                  <c:v>21.660355924596377</c:v>
                </c:pt>
                <c:pt idx="184">
                  <c:v>21.912761619656617</c:v>
                </c:pt>
                <c:pt idx="185">
                  <c:v>22.166645260955875</c:v>
                </c:pt>
                <c:pt idx="186">
                  <c:v>22.422005912122611</c:v>
                </c:pt>
                <c:pt idx="187">
                  <c:v>22.678842624018191</c:v>
                </c:pt>
                <c:pt idx="188">
                  <c:v>22.937154434824038</c:v>
                </c:pt>
                <c:pt idx="189">
                  <c:v>23.196940370127749</c:v>
                </c:pt>
                <c:pt idx="190">
                  <c:v>23.45819944300818</c:v>
                </c:pt>
                <c:pt idx="191">
                  <c:v>23.720930654119524</c:v>
                </c:pt>
                <c:pt idx="192">
                  <c:v>23.985132991774393</c:v>
                </c:pt>
                <c:pt idx="193">
                  <c:v>24.250805432025942</c:v>
                </c:pt>
                <c:pt idx="194">
                  <c:v>24.517946938749056</c:v>
                </c:pt>
                <c:pt idx="195">
                  <c:v>24.786556463720594</c:v>
                </c:pt>
                <c:pt idx="196">
                  <c:v>25.056632946698752</c:v>
                </c:pt>
                <c:pt idx="197">
                  <c:v>25.328175315501529</c:v>
                </c:pt>
                <c:pt idx="198">
                  <c:v>25.601182486084326</c:v>
                </c:pt>
                <c:pt idx="199">
                  <c:v>25.875653362616696</c:v>
                </c:pt>
                <c:pt idx="200">
                  <c:v>26.151586837558277</c:v>
                </c:pt>
                <c:pt idx="201">
                  <c:v>26.428981791733893</c:v>
                </c:pt>
                <c:pt idx="202">
                  <c:v>26.707837094407875</c:v>
                </c:pt>
                <c:pt idx="203">
                  <c:v>26.988151603357586</c:v>
                </c:pt>
                <c:pt idx="204">
                  <c:v>27.269924164946207</c:v>
                </c:pt>
                <c:pt idx="205">
                  <c:v>27.553153614194741</c:v>
                </c:pt>
                <c:pt idx="206">
                  <c:v>27.837838698769371</c:v>
                </c:pt>
                <c:pt idx="207">
                  <c:v>28.123978002734201</c:v>
                </c:pt>
                <c:pt idx="208">
                  <c:v>28.411570022405996</c:v>
                </c:pt>
                <c:pt idx="209">
                  <c:v>28.700613242445176</c:v>
                </c:pt>
                <c:pt idx="210">
                  <c:v>28.991106135930448</c:v>
                </c:pt>
                <c:pt idx="211">
                  <c:v>29.28304716443273</c:v>
                </c:pt>
                <c:pt idx="212">
                  <c:v>29.576434778088363</c:v>
                </c:pt>
                <c:pt idx="213">
                  <c:v>29.871267415671614</c:v>
                </c:pt>
                <c:pt idx="214">
                  <c:v>30.167543504666519</c:v>
                </c:pt>
                <c:pt idx="215">
                  <c:v>30.465261461338041</c:v>
                </c:pt>
                <c:pt idx="216">
                  <c:v>30.764419690802587</c:v>
                </c:pt>
                <c:pt idx="217">
                  <c:v>31.065016587097869</c:v>
                </c:pt>
                <c:pt idx="218">
                  <c:v>31.367050533252147</c:v>
                </c:pt>
                <c:pt idx="219">
                  <c:v>31.670519901352847</c:v>
                </c:pt>
                <c:pt idx="220">
                  <c:v>31.975423052614573</c:v>
                </c:pt>
                <c:pt idx="221">
                  <c:v>32.281758337446526</c:v>
                </c:pt>
                <c:pt idx="222">
                  <c:v>32.58952409551933</c:v>
                </c:pt>
                <c:pt idx="223">
                  <c:v>32.898718655831303</c:v>
                </c:pt>
                <c:pt idx="224">
                  <c:v>33.209340336774133</c:v>
                </c:pt>
                <c:pt idx="225">
                  <c:v>33.521387446198041</c:v>
                </c:pt>
                <c:pt idx="226">
                  <c:v>33.834858281476365</c:v>
                </c:pt>
                <c:pt idx="227">
                  <c:v>34.14975112956963</c:v>
                </c:pt>
                <c:pt idx="228">
                  <c:v>34.466064267089088</c:v>
                </c:pt>
                <c:pt idx="229">
                  <c:v>34.783795960359747</c:v>
                </c:pt>
                <c:pt idx="230">
                  <c:v>35.102944465482885</c:v>
                </c:pt>
                <c:pt idx="231">
                  <c:v>35.423508028398082</c:v>
                </c:pt>
                <c:pt idx="232">
                  <c:v>35.745484884944759</c:v>
                </c:pt>
                <c:pt idx="233">
                  <c:v>36.068873260923212</c:v>
                </c:pt>
                <c:pt idx="234">
                  <c:v>36.393671372155225</c:v>
                </c:pt>
                <c:pt idx="235">
                  <c:v>36.719877424544158</c:v>
                </c:pt>
                <c:pt idx="236">
                  <c:v>37.047489614134648</c:v>
                </c:pt>
                <c:pt idx="237">
                  <c:v>37.376506127171794</c:v>
                </c:pt>
                <c:pt idx="238">
                  <c:v>37.706925140159946</c:v>
                </c:pt>
                <c:pt idx="239">
                  <c:v>38.038744819921043</c:v>
                </c:pt>
                <c:pt idx="240">
                  <c:v>38.371963323652537</c:v>
                </c:pt>
                <c:pt idx="241">
                  <c:v>38.706578798984879</c:v>
                </c:pt>
                <c:pt idx="242">
                  <c:v>39.042589114652827</c:v>
                </c:pt>
                <c:pt idx="243">
                  <c:v>39.379991590459852</c:v>
                </c:pt>
                <c:pt idx="244">
                  <c:v>39.71878326584104</c:v>
                </c:pt>
                <c:pt idx="245">
                  <c:v>40.058961169141604</c:v>
                </c:pt>
                <c:pt idx="246">
                  <c:v>40.400522317691262</c:v>
                </c:pt>
                <c:pt idx="247">
                  <c:v>40.743463717878129</c:v>
                </c:pt>
                <c:pt idx="248">
                  <c:v>41.08778236522204</c:v>
                </c:pt>
                <c:pt idx="249">
                  <c:v>41.433475244447386</c:v>
                </c:pt>
                <c:pt idx="250">
                  <c:v>41.780539329555424</c:v>
                </c:pt>
                <c:pt idx="251">
                  <c:v>42.128971583896096</c:v>
                </c:pt>
                <c:pt idx="252">
                  <c:v>42.478768960239357</c:v>
                </c:pt>
                <c:pt idx="253">
                  <c:v>42.829928400846015</c:v>
                </c:pt>
                <c:pt idx="254">
                  <c:v>43.182446837538095</c:v>
                </c:pt>
                <c:pt idx="255">
                  <c:v>43.536321191768707</c:v>
                </c:pt>
                <c:pt idx="256">
                  <c:v>43.891548374691496</c:v>
                </c:pt>
                <c:pt idx="257">
                  <c:v>44.248125287229577</c:v>
                </c:pt>
                <c:pt idx="258">
                  <c:v>44.606048820144061</c:v>
                </c:pt>
                <c:pt idx="259">
                  <c:v>44.965315854102116</c:v>
                </c:pt>
                <c:pt idx="260">
                  <c:v>45.325923259744592</c:v>
                </c:pt>
                <c:pt idx="261">
                  <c:v>45.687867897753208</c:v>
                </c:pt>
                <c:pt idx="262">
                  <c:v>46.051146618917315</c:v>
                </c:pt>
                <c:pt idx="263">
                  <c:v>46.415756264200219</c:v>
                </c:pt>
                <c:pt idx="264">
                  <c:v>46.781693664805111</c:v>
                </c:pt>
                <c:pt idx="265">
                  <c:v>47.14895564224058</c:v>
                </c:pt>
                <c:pt idx="266">
                  <c:v>47.517539008385704</c:v>
                </c:pt>
                <c:pt idx="267">
                  <c:v>47.887440565554741</c:v>
                </c:pt>
                <c:pt idx="268">
                  <c:v>48.258657106561436</c:v>
                </c:pt>
                <c:pt idx="269">
                  <c:v>48.631185414782934</c:v>
                </c:pt>
                <c:pt idx="270">
                  <c:v>49.005022264223285</c:v>
                </c:pt>
                <c:pt idx="271">
                  <c:v>49.380164419576609</c:v>
                </c:pt>
                <c:pt idx="272">
                  <c:v>49.756608636289819</c:v>
                </c:pt>
                <c:pt idx="273">
                  <c:v>50.134351660625036</c:v>
                </c:pt>
                <c:pt idx="274">
                  <c:v>50.513390229721594</c:v>
                </c:pt>
                <c:pt idx="275">
                  <c:v>50.893721071657687</c:v>
                </c:pt>
                <c:pt idx="276">
                  <c:v>51.275340905511662</c:v>
                </c:pt>
                <c:pt idx="277">
                  <c:v>51.658246441422953</c:v>
                </c:pt>
                <c:pt idx="278">
                  <c:v>52.042434380652665</c:v>
                </c:pt>
                <c:pt idx="279">
                  <c:v>52.427901415643795</c:v>
                </c:pt>
                <c:pt idx="280">
                  <c:v>52.814644230081115</c:v>
                </c:pt>
                <c:pt idx="281">
                  <c:v>53.202659498950716</c:v>
                </c:pt>
                <c:pt idx="282">
                  <c:v>53.591943888599218</c:v>
                </c:pt>
                <c:pt idx="283">
                  <c:v>53.982494056792639</c:v>
                </c:pt>
                <c:pt idx="284">
                  <c:v>54.37430697680378</c:v>
                </c:pt>
                <c:pt idx="285">
                  <c:v>54.767380262203957</c:v>
                </c:pt>
                <c:pt idx="286">
                  <c:v>55.161711843730941</c:v>
                </c:pt>
                <c:pt idx="287">
                  <c:v>55.557299645442669</c:v>
                </c:pt>
                <c:pt idx="288">
                  <c:v>55.954141584755973</c:v>
                </c:pt>
                <c:pt idx="289">
                  <c:v>56.352235572485142</c:v>
                </c:pt>
                <c:pt idx="290">
                  <c:v>56.751579512880276</c:v>
                </c:pt>
                <c:pt idx="291">
                  <c:v>57.152171303665476</c:v>
                </c:pt>
                <c:pt idx="292">
                  <c:v>57.554008836076818</c:v>
                </c:pt>
                <c:pt idx="293">
                  <c:v>57.957089994900187</c:v>
                </c:pt>
                <c:pt idx="294">
                  <c:v>58.361412658508911</c:v>
                </c:pt>
                <c:pt idx="295">
                  <c:v>58.766974698901194</c:v>
                </c:pt>
                <c:pt idx="296">
                  <c:v>59.173773981737419</c:v>
                </c:pt>
                <c:pt idx="297">
                  <c:v>59.581808366377238</c:v>
                </c:pt>
                <c:pt idx="298">
                  <c:v>59.991075705916515</c:v>
                </c:pt>
                <c:pt idx="299">
                  <c:v>60.401573847224071</c:v>
                </c:pt>
                <c:pt idx="300">
                  <c:v>60.81330063097829</c:v>
                </c:pt>
                <c:pt idx="301">
                  <c:v>61.226253891703522</c:v>
                </c:pt>
                <c:pt idx="302">
                  <c:v>61.640431457806358</c:v>
                </c:pt>
                <c:pt idx="303">
                  <c:v>62.055831151611699</c:v>
                </c:pt>
                <c:pt idx="304">
                  <c:v>62.472450789398685</c:v>
                </c:pt>
                <c:pt idx="305">
                  <c:v>62.890288181436475</c:v>
                </c:pt>
                <c:pt idx="306">
                  <c:v>63.309341132019817</c:v>
                </c:pt>
                <c:pt idx="307">
                  <c:v>63.729607439504512</c:v>
                </c:pt>
                <c:pt idx="308">
                  <c:v>64.151084896342695</c:v>
                </c:pt>
                <c:pt idx="309">
                  <c:v>64.573771289117929</c:v>
                </c:pt>
                <c:pt idx="310">
                  <c:v>64.997664398580199</c:v>
                </c:pt>
                <c:pt idx="311">
                  <c:v>65.422761999680745</c:v>
                </c:pt>
                <c:pt idx="312">
                  <c:v>65.849061861606685</c:v>
                </c:pt>
                <c:pt idx="313">
                  <c:v>66.276561747815521</c:v>
                </c:pt>
                <c:pt idx="314">
                  <c:v>66.705259416069524</c:v>
                </c:pt>
                <c:pt idx="315">
                  <c:v>67.135152618469917</c:v>
                </c:pt>
                <c:pt idx="316">
                  <c:v>67.566239101490936</c:v>
                </c:pt>
                <c:pt idx="317">
                  <c:v>67.998516606013737</c:v>
                </c:pt>
                <c:pt idx="318">
                  <c:v>68.431982867360176</c:v>
                </c:pt>
                <c:pt idx="319">
                  <c:v>68.866635615326388</c:v>
                </c:pt>
                <c:pt idx="320">
                  <c:v>69.302472574216296</c:v>
                </c:pt>
                <c:pt idx="321">
                  <c:v>69.739491462874895</c:v>
                </c:pt>
                <c:pt idx="322">
                  <c:v>70.17768999472149</c:v>
                </c:pt>
                <c:pt idx="323">
                  <c:v>70.617065877782693</c:v>
                </c:pt>
                <c:pt idx="324">
                  <c:v>71.057616814725336</c:v>
                </c:pt>
                <c:pt idx="325">
                  <c:v>71.49934050288924</c:v>
                </c:pt>
                <c:pt idx="326">
                  <c:v>71.942234654656872</c:v>
                </c:pt>
                <c:pt idx="327">
                  <c:v>72.386297017860528</c:v>
                </c:pt>
                <c:pt idx="328">
                  <c:v>72.831525355520313</c:v>
                </c:pt>
                <c:pt idx="329">
                  <c:v>73.277917425543791</c:v>
                </c:pt>
                <c:pt idx="330">
                  <c:v>73.725470980757123</c:v>
                </c:pt>
                <c:pt idx="331">
                  <c:v>74.174183768936089</c:v>
                </c:pt>
                <c:pt idx="332">
                  <c:v>74.624053532836953</c:v>
                </c:pt>
                <c:pt idx="333">
                  <c:v>75.075078010227202</c:v>
                </c:pt>
                <c:pt idx="334">
                  <c:v>75.527254933916197</c:v>
                </c:pt>
                <c:pt idx="335">
                  <c:v>75.980582031785644</c:v>
                </c:pt>
                <c:pt idx="336">
                  <c:v>76.435057026819976</c:v>
                </c:pt>
                <c:pt idx="337">
                  <c:v>76.890677637136619</c:v>
                </c:pt>
                <c:pt idx="338">
                  <c:v>77.347441576016109</c:v>
                </c:pt>
                <c:pt idx="339">
                  <c:v>77.805346551932047</c:v>
                </c:pt>
                <c:pt idx="340">
                  <c:v>78.264390268581053</c:v>
                </c:pt>
                <c:pt idx="341">
                  <c:v>78.724570424912457</c:v>
                </c:pt>
                <c:pt idx="342">
                  <c:v>79.185884715157968</c:v>
                </c:pt>
                <c:pt idx="343">
                  <c:v>79.648330828861177</c:v>
                </c:pt>
                <c:pt idx="344">
                  <c:v>80.111906450906957</c:v>
                </c:pt>
                <c:pt idx="345">
                  <c:v>80.576609261550743</c:v>
                </c:pt>
                <c:pt idx="346">
                  <c:v>81.042436936447672</c:v>
                </c:pt>
                <c:pt idx="347">
                  <c:v>81.509387146681632</c:v>
                </c:pt>
                <c:pt idx="348">
                  <c:v>81.977457558794171</c:v>
                </c:pt>
                <c:pt idx="349">
                  <c:v>82.44664583481331</c:v>
                </c:pt>
                <c:pt idx="350">
                  <c:v>82.916949632282225</c:v>
                </c:pt>
                <c:pt idx="351">
                  <c:v>83.38836660428781</c:v>
                </c:pt>
                <c:pt idx="352">
                  <c:v>83.860894399489169</c:v>
                </c:pt>
                <c:pt idx="353">
                  <c:v>84.334530662145895</c:v>
                </c:pt>
                <c:pt idx="354">
                  <c:v>84.809273032146336</c:v>
                </c:pt>
                <c:pt idx="355">
                  <c:v>85.285119145035694</c:v>
                </c:pt>
                <c:pt idx="356">
                  <c:v>85.762066632044039</c:v>
                </c:pt>
                <c:pt idx="357">
                  <c:v>86.240113120114174</c:v>
                </c:pt>
                <c:pt idx="358">
                  <c:v>86.719256231929407</c:v>
                </c:pt>
                <c:pt idx="359">
                  <c:v>87.199493585941212</c:v>
                </c:pt>
                <c:pt idx="360">
                  <c:v>87.680822796396811</c:v>
                </c:pt>
                <c:pt idx="361">
                  <c:v>88.163241473366568</c:v>
                </c:pt>
                <c:pt idx="362">
                  <c:v>88.646747222771324</c:v>
                </c:pt>
                <c:pt idx="363">
                  <c:v>89.131337646409634</c:v>
                </c:pt>
                <c:pt idx="364">
                  <c:v>89.617010341984866</c:v>
                </c:pt>
                <c:pt idx="365">
                  <c:v>90.103762903132179</c:v>
                </c:pt>
                <c:pt idx="366">
                  <c:v>90.59159344466326</c:v>
                </c:pt>
                <c:pt idx="367">
                  <c:v>91.080501128650013</c:v>
                </c:pt>
                <c:pt idx="368">
                  <c:v>91.570485640127188</c:v>
                </c:pt>
                <c:pt idx="369">
                  <c:v>92.061546661946537</c:v>
                </c:pt>
                <c:pt idx="370">
                  <c:v>92.553683874784781</c:v>
                </c:pt>
                <c:pt idx="371">
                  <c:v>93.04689695715156</c:v>
                </c:pt>
                <c:pt idx="372">
                  <c:v>93.541185585397344</c:v>
                </c:pt>
                <c:pt idx="373">
                  <c:v>94.036549433721405</c:v>
                </c:pt>
                <c:pt idx="374">
                  <c:v>94.532988174179692</c:v>
                </c:pt>
                <c:pt idx="375">
                  <c:v>95.030501476692734</c:v>
                </c:pt>
                <c:pt idx="376">
                  <c:v>95.529089009053507</c:v>
                </c:pt>
                <c:pt idx="377">
                  <c:v>96.028750436935312</c:v>
                </c:pt>
                <c:pt idx="378">
                  <c:v>96.529485423899629</c:v>
                </c:pt>
                <c:pt idx="379">
                  <c:v>97.03129363140394</c:v>
                </c:pt>
                <c:pt idx="380">
                  <c:v>97.534174718809581</c:v>
                </c:pt>
                <c:pt idx="381">
                  <c:v>98.038127772769087</c:v>
                </c:pt>
                <c:pt idx="382">
                  <c:v>98.543150735737939</c:v>
                </c:pt>
                <c:pt idx="383">
                  <c:v>99.049240975688903</c:v>
                </c:pt>
                <c:pt idx="384">
                  <c:v>99.556395856712129</c:v>
                </c:pt>
                <c:pt idx="385">
                  <c:v>100.06461273904262</c:v>
                </c:pt>
                <c:pt idx="386">
                  <c:v>100.57388897908763</c:v>
                </c:pt>
                <c:pt idx="387">
                  <c:v>101.08422192945399</c:v>
                </c:pt>
                <c:pt idx="388">
                  <c:v>101.59560893897525</c:v>
                </c:pt>
                <c:pt idx="389">
                  <c:v>102.10804735273871</c:v>
                </c:pt>
                <c:pt idx="390">
                  <c:v>102.62153451211239</c:v>
                </c:pt>
                <c:pt idx="391">
                  <c:v>103.13606775477187</c:v>
                </c:pt>
                <c:pt idx="392">
                  <c:v>103.65164441472699</c:v>
                </c:pt>
                <c:pt idx="393">
                  <c:v>104.16826182234846</c:v>
                </c:pt>
                <c:pt idx="394">
                  <c:v>104.68591730439435</c:v>
                </c:pt>
                <c:pt idx="395">
                  <c:v>105.20460818403649</c:v>
                </c:pt>
                <c:pt idx="396">
                  <c:v>105.72433178088669</c:v>
                </c:pt>
                <c:pt idx="397">
                  <c:v>106.24508541102297</c:v>
                </c:pt>
                <c:pt idx="398">
                  <c:v>106.76686638701555</c:v>
                </c:pt>
                <c:pt idx="399">
                  <c:v>107.28967201795284</c:v>
                </c:pt>
                <c:pt idx="400">
                  <c:v>107.8134996094672</c:v>
                </c:pt>
                <c:pt idx="401">
                  <c:v>108.33834601206274</c:v>
                </c:pt>
                <c:pt idx="402">
                  <c:v>108.86420716880298</c:v>
                </c:pt>
                <c:pt idx="403">
                  <c:v>109.39107856639583</c:v>
                </c:pt>
                <c:pt idx="404">
                  <c:v>109.91895568692787</c:v>
                </c:pt>
                <c:pt idx="405">
                  <c:v>110.44783400790831</c:v>
                </c:pt>
                <c:pt idx="406">
                  <c:v>110.97770900231281</c:v>
                </c:pt>
                <c:pt idx="407">
                  <c:v>111.50857613862705</c:v>
                </c:pt>
                <c:pt idx="408">
                  <c:v>112.04043088089004</c:v>
                </c:pt>
                <c:pt idx="409">
                  <c:v>112.57326868873724</c:v>
                </c:pt>
                <c:pt idx="410">
                  <c:v>113.10708501744334</c:v>
                </c:pt>
                <c:pt idx="411">
                  <c:v>113.64187281461977</c:v>
                </c:pt>
                <c:pt idx="412">
                  <c:v>114.17762001356279</c:v>
                </c:pt>
                <c:pt idx="413">
                  <c:v>114.71431203343072</c:v>
                </c:pt>
                <c:pt idx="414">
                  <c:v>115.25193428285465</c:v>
                </c:pt>
                <c:pt idx="415">
                  <c:v>115.79047216014801</c:v>
                </c:pt>
                <c:pt idx="416">
                  <c:v>116.32991105351428</c:v>
                </c:pt>
                <c:pt idx="417">
                  <c:v>116.87023634125285</c:v>
                </c:pt>
                <c:pt idx="418">
                  <c:v>117.41143339196303</c:v>
                </c:pt>
                <c:pt idx="419">
                  <c:v>117.95348756474621</c:v>
                </c:pt>
                <c:pt idx="420">
                  <c:v>118.49638278155747</c:v>
                </c:pt>
                <c:pt idx="421">
                  <c:v>119.04010009784868</c:v>
                </c:pt>
                <c:pt idx="422">
                  <c:v>119.58461912910943</c:v>
                </c:pt>
                <c:pt idx="423">
                  <c:v>120.12991947918367</c:v>
                </c:pt>
                <c:pt idx="424">
                  <c:v>120.67598074060395</c:v>
                </c:pt>
                <c:pt idx="425">
                  <c:v>121.22278249492206</c:v>
                </c:pt>
                <c:pt idx="426">
                  <c:v>121.77030431303635</c:v>
                </c:pt>
                <c:pt idx="427">
                  <c:v>122.31852575551549</c:v>
                </c:pt>
                <c:pt idx="428">
                  <c:v>122.86742637291884</c:v>
                </c:pt>
                <c:pt idx="429">
                  <c:v>123.41698570611322</c:v>
                </c:pt>
                <c:pt idx="430">
                  <c:v>123.96718328658639</c:v>
                </c:pt>
                <c:pt idx="431">
                  <c:v>124.51799863675693</c:v>
                </c:pt>
                <c:pt idx="432">
                  <c:v>125.06940896087259</c:v>
                </c:pt>
                <c:pt idx="433">
                  <c:v>125.62138683367382</c:v>
                </c:pt>
                <c:pt idx="434">
                  <c:v>126.17390250848935</c:v>
                </c:pt>
                <c:pt idx="435">
                  <c:v>126.72692622770509</c:v>
                </c:pt>
                <c:pt idx="436">
                  <c:v>127.28042822334544</c:v>
                </c:pt>
                <c:pt idx="437">
                  <c:v>127.8343787176472</c:v>
                </c:pt>
                <c:pt idx="438">
                  <c:v>128.3887479236264</c:v>
                </c:pt>
                <c:pt idx="439">
                  <c:v>128.94350604563769</c:v>
                </c:pt>
                <c:pt idx="440">
                  <c:v>129.49862327992659</c:v>
                </c:pt>
                <c:pt idx="441">
                  <c:v>130.05406981517424</c:v>
                </c:pt>
                <c:pt idx="442">
                  <c:v>130.60981724033118</c:v>
                </c:pt>
                <c:pt idx="443">
                  <c:v>131.16583995346016</c:v>
                </c:pt>
                <c:pt idx="444">
                  <c:v>131.72211375543054</c:v>
                </c:pt>
                <c:pt idx="445">
                  <c:v>132.27861444250135</c:v>
                </c:pt>
                <c:pt idx="446">
                  <c:v>132.83531780665598</c:v>
                </c:pt>
                <c:pt idx="447">
                  <c:v>133.39219963593197</c:v>
                </c:pt>
                <c:pt idx="448">
                  <c:v>133.94923571474604</c:v>
                </c:pt>
                <c:pt idx="449">
                  <c:v>134.50640182421407</c:v>
                </c:pt>
                <c:pt idx="450">
                  <c:v>135.06367374246634</c:v>
                </c:pt>
                <c:pt idx="451">
                  <c:v>135.62102724495784</c:v>
                </c:pt>
                <c:pt idx="452">
                  <c:v>136.17843810477365</c:v>
                </c:pt>
                <c:pt idx="453">
                  <c:v>136.73588411626912</c:v>
                </c:pt>
                <c:pt idx="454">
                  <c:v>137.29334711977938</c:v>
                </c:pt>
                <c:pt idx="455">
                  <c:v>137.85081097869326</c:v>
                </c:pt>
                <c:pt idx="456">
                  <c:v>138.40825955536368</c:v>
                </c:pt>
                <c:pt idx="457">
                  <c:v>138.96567671122085</c:v>
                </c:pt>
                <c:pt idx="458">
                  <c:v>139.52304630688306</c:v>
                </c:pt>
                <c:pt idx="459">
                  <c:v>140.08035220226557</c:v>
                </c:pt>
                <c:pt idx="460">
                  <c:v>140.63757825668714</c:v>
                </c:pt>
                <c:pt idx="461">
                  <c:v>141.19471015556803</c:v>
                </c:pt>
                <c:pt idx="462">
                  <c:v>141.75173723795336</c:v>
                </c:pt>
                <c:pt idx="463">
                  <c:v>142.30865066994699</c:v>
                </c:pt>
                <c:pt idx="464">
                  <c:v>142.86544161727528</c:v>
                </c:pt>
                <c:pt idx="465">
                  <c:v>143.42210124530331</c:v>
                </c:pt>
                <c:pt idx="466">
                  <c:v>143.97861918141595</c:v>
                </c:pt>
                <c:pt idx="467">
                  <c:v>144.53498197674168</c:v>
                </c:pt>
                <c:pt idx="468">
                  <c:v>145.09115750600967</c:v>
                </c:pt>
                <c:pt idx="469">
                  <c:v>145.6471003434259</c:v>
                </c:pt>
                <c:pt idx="470">
                  <c:v>146.20278989250454</c:v>
                </c:pt>
                <c:pt idx="471">
                  <c:v>146.75822654823313</c:v>
                </c:pt>
                <c:pt idx="472">
                  <c:v>147.31341070477743</c:v>
                </c:pt>
                <c:pt idx="473">
                  <c:v>147.8683427554837</c:v>
                </c:pt>
                <c:pt idx="474">
                  <c:v>148.42302309288118</c:v>
                </c:pt>
                <c:pt idx="475">
                  <c:v>148.97745210868442</c:v>
                </c:pt>
                <c:pt idx="476">
                  <c:v>149.53163019379559</c:v>
                </c:pt>
                <c:pt idx="477">
                  <c:v>150.08555773830693</c:v>
                </c:pt>
                <c:pt idx="478">
                  <c:v>150.63923513150297</c:v>
                </c:pt>
                <c:pt idx="479">
                  <c:v>151.19266276186301</c:v>
                </c:pt>
                <c:pt idx="480">
                  <c:v>151.74584101706333</c:v>
                </c:pt>
                <c:pt idx="481">
                  <c:v>152.29877028397956</c:v>
                </c:pt>
                <c:pt idx="482">
                  <c:v>152.85145094868903</c:v>
                </c:pt>
                <c:pt idx="483">
                  <c:v>153.40388339647296</c:v>
                </c:pt>
                <c:pt idx="484">
                  <c:v>153.95606801181884</c:v>
                </c:pt>
                <c:pt idx="485">
                  <c:v>154.50800517842271</c:v>
                </c:pt>
                <c:pt idx="486">
                  <c:v>155.05969527919143</c:v>
                </c:pt>
                <c:pt idx="487">
                  <c:v>155.61113869624492</c:v>
                </c:pt>
                <c:pt idx="488">
                  <c:v>156.16233581091845</c:v>
                </c:pt>
                <c:pt idx="489">
                  <c:v>156.71328700376489</c:v>
                </c:pt>
                <c:pt idx="490">
                  <c:v>157.26399265455694</c:v>
                </c:pt>
                <c:pt idx="491">
                  <c:v>157.81445314228941</c:v>
                </c:pt>
                <c:pt idx="492">
                  <c:v>158.36466884518137</c:v>
                </c:pt>
                <c:pt idx="493">
                  <c:v>158.91464014067844</c:v>
                </c:pt>
                <c:pt idx="494">
                  <c:v>159.46436740545496</c:v>
                </c:pt>
                <c:pt idx="495">
                  <c:v>160.01385101541626</c:v>
                </c:pt>
                <c:pt idx="496">
                  <c:v>160.56309134570074</c:v>
                </c:pt>
                <c:pt idx="497">
                  <c:v>161.11208877068219</c:v>
                </c:pt>
                <c:pt idx="498">
                  <c:v>161.66084366397186</c:v>
                </c:pt>
                <c:pt idx="499">
                  <c:v>162.20935639842074</c:v>
                </c:pt>
                <c:pt idx="500">
                  <c:v>162.75762734612161</c:v>
                </c:pt>
                <c:pt idx="501">
                  <c:v>168.22706732210023</c:v>
                </c:pt>
                <c:pt idx="502">
                  <c:v>173.67256856140386</c:v>
                </c:pt>
                <c:pt idx="503">
                  <c:v>179.09449587859643</c:v>
                </c:pt>
                <c:pt idx="504">
                  <c:v>184.49320679487246</c:v>
                </c:pt>
                <c:pt idx="505">
                  <c:v>189.86905174127071</c:v>
                </c:pt>
                <c:pt idx="506">
                  <c:v>195.22237425482933</c:v>
                </c:pt>
                <c:pt idx="507">
                  <c:v>200.55351116797658</c:v>
                </c:pt>
                <c:pt idx="508">
                  <c:v>205.86279279143668</c:v>
                </c:pt>
                <c:pt idx="509">
                  <c:v>211.15054309091693</c:v>
                </c:pt>
                <c:pt idx="510">
                  <c:v>216.41707985782929</c:v>
                </c:pt>
                <c:pt idx="511">
                  <c:v>221.6627148742879</c:v>
                </c:pt>
                <c:pt idx="512">
                  <c:v>226.88775407261227</c:v>
                </c:pt>
                <c:pt idx="513">
                  <c:v>232.09249768955519</c:v>
                </c:pt>
                <c:pt idx="514">
                  <c:v>237.27724041546432</c:v>
                </c:pt>
                <c:pt idx="515">
                  <c:v>242.44227153857645</c:v>
                </c:pt>
                <c:pt idx="516">
                  <c:v>247.58787508463465</c:v>
                </c:pt>
                <c:pt idx="517">
                  <c:v>252.71432995200936</c:v>
                </c:pt>
                <c:pt idx="518">
                  <c:v>257.82191004249677</c:v>
                </c:pt>
                <c:pt idx="519">
                  <c:v>262.91088438795924</c:v>
                </c:pt>
                <c:pt idx="520">
                  <c:v>267.9815172729663</c:v>
                </c:pt>
                <c:pt idx="521">
                  <c:v>273.03406835358624</c:v>
                </c:pt>
                <c:pt idx="522">
                  <c:v>278.06879277247299</c:v>
                </c:pt>
                <c:pt idx="523">
                  <c:v>283.08594127038566</c:v>
                </c:pt>
                <c:pt idx="524">
                  <c:v>288.08576029427263</c:v>
                </c:pt>
                <c:pt idx="525">
                  <c:v>293.06849210204615</c:v>
                </c:pt>
                <c:pt idx="526">
                  <c:v>298.03437486416794</c:v>
                </c:pt>
                <c:pt idx="527">
                  <c:v>302.98364276216103</c:v>
                </c:pt>
                <c:pt idx="528">
                  <c:v>307.91652608415825</c:v>
                </c:pt>
                <c:pt idx="529">
                  <c:v>312.83325131759341</c:v>
                </c:pt>
                <c:pt idx="530">
                  <c:v>317.73404123913588</c:v>
                </c:pt>
                <c:pt idx="531">
                  <c:v>322.61911500196567</c:v>
                </c:pt>
                <c:pt idx="532">
                  <c:v>327.48868822048223</c:v>
                </c:pt>
                <c:pt idx="533">
                  <c:v>332.34297305253551</c:v>
                </c:pt>
                <c:pt idx="534">
                  <c:v>337.1821782792648</c:v>
                </c:pt>
                <c:pt idx="535">
                  <c:v>342.00650938262731</c:v>
                </c:pt>
                <c:pt idx="536">
                  <c:v>346.81616862069461</c:v>
                </c:pt>
                <c:pt idx="537">
                  <c:v>351.61135510079242</c:v>
                </c:pt>
                <c:pt idx="538">
                  <c:v>356.39226485055576</c:v>
                </c:pt>
                <c:pt idx="539">
                  <c:v>361.15909088696861</c:v>
                </c:pt>
                <c:pt idx="540">
                  <c:v>365.9120232834548</c:v>
                </c:pt>
                <c:pt idx="541">
                  <c:v>370.65124923508364</c:v>
                </c:pt>
                <c:pt idx="542">
                  <c:v>375.37695312195149</c:v>
                </c:pt>
                <c:pt idx="543">
                  <c:v>380.08931657079819</c:v>
                </c:pt>
                <c:pt idx="544">
                  <c:v>384.78851851491453</c:v>
                </c:pt>
                <c:pt idx="545">
                  <c:v>389.47473525239502</c:v>
                </c:pt>
                <c:pt idx="546">
                  <c:v>394.14814050278812</c:v>
                </c:pt>
                <c:pt idx="547">
                  <c:v>398.80890546219359</c:v>
                </c:pt>
                <c:pt idx="548">
                  <c:v>403.45719885685509</c:v>
                </c:pt>
                <c:pt idx="549">
                  <c:v>408.0931869952941</c:v>
                </c:pt>
                <c:pt idx="550">
                  <c:v>412.71703381902961</c:v>
                </c:pt>
                <c:pt idx="551">
                  <c:v>417.3289009519255</c:v>
                </c:pt>
                <c:pt idx="552">
                  <c:v>421.92894774820729</c:v>
                </c:pt>
                <c:pt idx="553">
                  <c:v>426.51733133918674</c:v>
                </c:pt>
                <c:pt idx="554">
                  <c:v>431.09420667873241</c:v>
                </c:pt>
                <c:pt idx="555">
                  <c:v>435.65972658752224</c:v>
                </c:pt>
                <c:pt idx="556">
                  <c:v>440.21404179611301</c:v>
                </c:pt>
                <c:pt idx="557">
                  <c:v>444.75730098685978</c:v>
                </c:pt>
                <c:pt idx="558">
                  <c:v>449.28965083471763</c:v>
                </c:pt>
                <c:pt idx="559">
                  <c:v>453.81123604695642</c:v>
                </c:pt>
                <c:pt idx="560">
                  <c:v>458.32219940181784</c:v>
                </c:pt>
                <c:pt idx="561">
                  <c:v>462.82268178614351</c:v>
                </c:pt>
                <c:pt idx="562">
                  <c:v>467.31282223200088</c:v>
                </c:pt>
                <c:pt idx="563">
                  <c:v>471.79275795233309</c:v>
                </c:pt>
                <c:pt idx="564">
                  <c:v>476.26262437565799</c:v>
                </c:pt>
                <c:pt idx="565">
                  <c:v>480.72255517983979</c:v>
                </c:pt>
                <c:pt idx="566">
                  <c:v>485.17268232495667</c:v>
                </c:pt>
                <c:pt idx="567">
                  <c:v>489.6131360852861</c:v>
                </c:pt>
                <c:pt idx="568">
                  <c:v>494.04404508042848</c:v>
                </c:pt>
                <c:pt idx="569">
                  <c:v>498.46553630558975</c:v>
                </c:pt>
                <c:pt idx="570">
                  <c:v>502.87773516104147</c:v>
                </c:pt>
                <c:pt idx="571">
                  <c:v>507.28076548077695</c:v>
                </c:pt>
                <c:pt idx="572">
                  <c:v>511.67474956038052</c:v>
                </c:pt>
                <c:pt idx="573">
                  <c:v>516.05980818412684</c:v>
                </c:pt>
                <c:pt idx="574">
                  <c:v>520.43606065132519</c:v>
                </c:pt>
                <c:pt idx="575">
                  <c:v>524.80362480192446</c:v>
                </c:pt>
                <c:pt idx="576">
                  <c:v>529.16261704139231</c:v>
                </c:pt>
                <c:pt idx="577">
                  <c:v>533.51315236488153</c:v>
                </c:pt>
                <c:pt idx="578">
                  <c:v>537.85534438069737</c:v>
                </c:pt>
                <c:pt idx="579">
                  <c:v>542.18930533307582</c:v>
                </c:pt>
                <c:pt idx="580">
                  <c:v>546.51514612428514</c:v>
                </c:pt>
                <c:pt idx="581">
                  <c:v>550.83297633606003</c:v>
                </c:pt>
                <c:pt idx="582">
                  <c:v>555.14290425037916</c:v>
                </c:pt>
                <c:pt idx="583">
                  <c:v>559.44503686959274</c:v>
                </c:pt>
                <c:pt idx="584">
                  <c:v>563.73947993591059</c:v>
                </c:pt>
                <c:pt idx="585">
                  <c:v>568.02633795025588</c:v>
                </c:pt>
                <c:pt idx="586">
                  <c:v>572.30571419049284</c:v>
                </c:pt>
                <c:pt idx="587">
                  <c:v>576.57771072903302</c:v>
                </c:pt>
                <c:pt idx="588">
                  <c:v>580.842428449826</c:v>
                </c:pt>
                <c:pt idx="589">
                  <c:v>585.09996706473828</c:v>
                </c:pt>
                <c:pt idx="590">
                  <c:v>589.35042512932534</c:v>
                </c:pt>
                <c:pt idx="591">
                  <c:v>593.59390005799776</c:v>
                </c:pt>
                <c:pt idx="592">
                  <c:v>597.83048813858591</c:v>
                </c:pt>
                <c:pt idx="593">
                  <c:v>602.06028454630257</c:v>
                </c:pt>
                <c:pt idx="594">
                  <c:v>606.28338335710589</c:v>
                </c:pt>
                <c:pt idx="595">
                  <c:v>610.49987756046141</c:v>
                </c:pt>
                <c:pt idx="596">
                  <c:v>614.70985907150316</c:v>
                </c:pt>
                <c:pt idx="597">
                  <c:v>618.91341874259194</c:v>
                </c:pt>
                <c:pt idx="598">
                  <c:v>623.11064637426819</c:v>
                </c:pt>
                <c:pt idx="599">
                  <c:v>627.30163072559651</c:v>
                </c:pt>
                <c:pt idx="600">
                  <c:v>631.48645952389825</c:v>
                </c:pt>
                <c:pt idx="601">
                  <c:v>635.6652194738665</c:v>
                </c:pt>
                <c:pt idx="602">
                  <c:v>639.83799626605889</c:v>
                </c:pt>
                <c:pt idx="603">
                  <c:v>644.00487458476096</c:v>
                </c:pt>
                <c:pt idx="604">
                  <c:v>648.16593811521318</c:v>
                </c:pt>
                <c:pt idx="605">
                  <c:v>652.32126955019351</c:v>
                </c:pt>
                <c:pt idx="606">
                  <c:v>656.47095059594687</c:v>
                </c:pt>
                <c:pt idx="607">
                  <c:v>660.61506197745086</c:v>
                </c:pt>
                <c:pt idx="608">
                  <c:v>664.75368344300773</c:v>
                </c:pt>
                <c:pt idx="609">
                  <c:v>668.88689376815114</c:v>
                </c:pt>
                <c:pt idx="610">
                  <c:v>673.01477075885498</c:v>
                </c:pt>
                <c:pt idx="611">
                  <c:v>677.13739125403129</c:v>
                </c:pt>
                <c:pt idx="612">
                  <c:v>681.25483112730319</c:v>
                </c:pt>
                <c:pt idx="613">
                  <c:v>685.36716528803822</c:v>
                </c:pt>
                <c:pt idx="614">
                  <c:v>689.47446768162638</c:v>
                </c:pt>
                <c:pt idx="615">
                  <c:v>693.57681128898651</c:v>
                </c:pt>
                <c:pt idx="616">
                  <c:v>697.67426812528493</c:v>
                </c:pt>
                <c:pt idx="617">
                  <c:v>701.76690923784736</c:v>
                </c:pt>
                <c:pt idx="618">
                  <c:v>705.85480470324762</c:v>
                </c:pt>
                <c:pt idx="619">
                  <c:v>709.93802362355359</c:v>
                </c:pt>
                <c:pt idx="620">
                  <c:v>714.01663412171263</c:v>
                </c:pt>
                <c:pt idx="621">
                  <c:v>718.09070333605655</c:v>
                </c:pt>
                <c:pt idx="622">
                  <c:v>722.1602974139081</c:v>
                </c:pt>
                <c:pt idx="623">
                  <c:v>726.22548150426962</c:v>
                </c:pt>
                <c:pt idx="624">
                  <c:v>730.28631974957557</c:v>
                </c:pt>
                <c:pt idx="625">
                  <c:v>734.34287527649133</c:v>
                </c:pt>
                <c:pt idx="626">
                  <c:v>738.39521018574112</c:v>
                </c:pt>
                <c:pt idx="627">
                  <c:v>742.44338554094963</c:v>
                </c:pt>
                <c:pt idx="628">
                  <c:v>746.48746135648241</c:v>
                </c:pt>
                <c:pt idx="629">
                  <c:v>750.52749658427365</c:v>
                </c:pt>
                <c:pt idx="630">
                  <c:v>754.56354909963068</c:v>
                </c:pt>
                <c:pt idx="631">
                  <c:v>758.59567568600846</c:v>
                </c:pt>
                <c:pt idx="632">
                  <c:v>762.62393201875011</c:v>
                </c:pt>
                <c:pt idx="633">
                  <c:v>766.64837264779339</c:v>
                </c:pt>
                <c:pt idx="634">
                  <c:v>770.66905097934841</c:v>
                </c:pt>
                <c:pt idx="635">
                  <c:v>774.68601925655571</c:v>
                </c:pt>
                <c:pt idx="636">
                  <c:v>778.69932853914077</c:v>
                </c:pt>
                <c:pt idx="637">
                  <c:v>782.70902868208782</c:v>
                </c:pt>
                <c:pt idx="638">
                  <c:v>786.71516831336157</c:v>
                </c:pt>
                <c:pt idx="639">
                  <c:v>790.7177948107161</c:v>
                </c:pt>
                <c:pt idx="640">
                  <c:v>794.71695427763746</c:v>
                </c:pt>
                <c:pt idx="641">
                  <c:v>798.71269151847639</c:v>
                </c:pt>
                <c:pt idx="642">
                  <c:v>802.70505001283948</c:v>
                </c:pt>
                <c:pt idx="643">
                  <c:v>806.69407188931621</c:v>
                </c:pt>
                <c:pt idx="644">
                  <c:v>810.67979789863375</c:v>
                </c:pt>
                <c:pt idx="645">
                  <c:v>814.66226738634214</c:v>
                </c:pt>
                <c:pt idx="646">
                  <c:v>818.6415182651449</c:v>
                </c:pt>
                <c:pt idx="647">
                  <c:v>822.61758698700635</c:v>
                </c:pt>
                <c:pt idx="648">
                  <c:v>826.59050851517554</c:v>
                </c:pt>
                <c:pt idx="649">
                  <c:v>830.56031629628421</c:v>
                </c:pt>
                <c:pt idx="650">
                  <c:v>834.52704223268574</c:v>
                </c:pt>
                <c:pt idx="651">
                  <c:v>838.49071665521444</c:v>
                </c:pt>
                <c:pt idx="652">
                  <c:v>842.45136829655712</c:v>
                </c:pt>
                <c:pt idx="653">
                  <c:v>846.40902426543539</c:v>
                </c:pt>
                <c:pt idx="654">
                  <c:v>850.3637100218067</c:v>
                </c:pt>
                <c:pt idx="655">
                  <c:v>854.31544935329669</c:v>
                </c:pt>
                <c:pt idx="656">
                  <c:v>858.26426435307917</c:v>
                </c:pt>
                <c:pt idx="657">
                  <c:v>862.21017539941818</c:v>
                </c:pt>
                <c:pt idx="658">
                  <c:v>866.15320113708685</c:v>
                </c:pt>
                <c:pt idx="659">
                  <c:v>870.09335846086901</c:v>
                </c:pt>
                <c:pt idx="660">
                  <c:v>874.03066250134032</c:v>
                </c:pt>
                <c:pt idx="661">
                  <c:v>877.96512661311476</c:v>
                </c:pt>
                <c:pt idx="662">
                  <c:v>881.89676236572291</c:v>
                </c:pt>
                <c:pt idx="663">
                  <c:v>885.82557953727166</c:v>
                </c:pt>
                <c:pt idx="664">
                  <c:v>889.75158611101074</c:v>
                </c:pt>
                <c:pt idx="665">
                  <c:v>893.6747882749064</c:v>
                </c:pt>
                <c:pt idx="666">
                  <c:v>897.59519042429724</c:v>
                </c:pt>
                <c:pt idx="667">
                  <c:v>901.51279516767534</c:v>
                </c:pt>
                <c:pt idx="668">
                  <c:v>905.42760333560864</c:v>
                </c:pt>
                <c:pt idx="669">
                  <c:v>909.33961399278871</c:v>
                </c:pt>
                <c:pt idx="670">
                  <c:v>913.2488244531595</c:v>
                </c:pt>
                <c:pt idx="671">
                  <c:v>917.15523029805195</c:v>
                </c:pt>
                <c:pt idx="672">
                  <c:v>921.05882539722427</c:v>
                </c:pt>
                <c:pt idx="673">
                  <c:v>924.95960193268024</c:v>
                </c:pt>
                <c:pt idx="674">
                  <c:v>928.85755042511653</c:v>
                </c:pt>
                <c:pt idx="675">
                  <c:v>932.75265976283049</c:v>
                </c:pt>
                <c:pt idx="676">
                  <c:v>936.64491723290178</c:v>
                </c:pt>
                <c:pt idx="677">
                  <c:v>940.53430855445049</c:v>
                </c:pt>
                <c:pt idx="678">
                  <c:v>944.42081791376279</c:v>
                </c:pt>
                <c:pt idx="679">
                  <c:v>948.30442800107039</c:v>
                </c:pt>
                <c:pt idx="680">
                  <c:v>952.18512004876595</c:v>
                </c:pt>
                <c:pt idx="681">
                  <c:v>956.06287387083853</c:v>
                </c:pt>
                <c:pt idx="682">
                  <c:v>959.93766790331506</c:v>
                </c:pt>
                <c:pt idx="683">
                  <c:v>963.80947924549992</c:v>
                </c:pt>
                <c:pt idx="684">
                  <c:v>967.67828370181189</c:v>
                </c:pt>
                <c:pt idx="685">
                  <c:v>971.54405582402956</c:v>
                </c:pt>
                <c:pt idx="686">
                  <c:v>975.40676895376419</c:v>
                </c:pt>
                <c:pt idx="687">
                  <c:v>979.26639526499457</c:v>
                </c:pt>
                <c:pt idx="688">
                  <c:v>983.12290580650892</c:v>
                </c:pt>
                <c:pt idx="689">
                  <c:v>986.9762705441135</c:v>
                </c:pt>
                <c:pt idx="690">
                  <c:v>990.82645840248222</c:v>
                </c:pt>
                <c:pt idx="691">
                  <c:v>994.67343730653226</c:v>
                </c:pt>
                <c:pt idx="692">
                  <c:v>998.51717422222771</c:v>
                </c:pt>
                <c:pt idx="693">
                  <c:v>1002.357635196723</c:v>
                </c:pt>
                <c:pt idx="694">
                  <c:v>1006.1947853977725</c:v>
                </c:pt>
                <c:pt idx="695">
                  <c:v>1010.0285891523432</c:v>
                </c:pt>
                <c:pt idx="696">
                  <c:v>1013.8590099843778</c:v>
                </c:pt>
                <c:pt idx="697">
                  <c:v>1017.6860106516674</c:v>
                </c:pt>
                <c:pt idx="698">
                  <c:v>1021.5095531818002</c:v>
                </c:pt>
                <c:pt idx="699">
                  <c:v>1025.3295989071632</c:v>
                </c:pt>
                <c:pt idx="700">
                  <c:v>1029.1461084989792</c:v>
                </c:pt>
                <c:pt idx="701">
                  <c:v>1032.9590420003692</c:v>
                </c:pt>
                <c:pt idx="702">
                  <c:v>1036.7683588584391</c:v>
                </c:pt>
                <c:pt idx="703">
                  <c:v>1040.5740179553877</c:v>
                </c:pt>
                <c:pt idx="704">
                  <c:v>1044.3759776386471</c:v>
                </c:pt>
                <c:pt idx="705">
                  <c:v>1048.1741957500622</c:v>
                </c:pt>
                <c:pt idx="706">
                  <c:v>1051.9686296541249</c:v>
                </c:pt>
                <c:pt idx="707">
                  <c:v>1055.7592362652783</c:v>
                </c:pt>
                <c:pt idx="708">
                  <c:v>1059.5459720743106</c:v>
                </c:pt>
                <c:pt idx="709">
                  <c:v>1063.3287931738589</c:v>
                </c:pt>
                <c:pt idx="710">
                  <c:v>1067.1076552830455</c:v>
                </c:pt>
                <c:pt idx="711">
                  <c:v>1070.8825137712702</c:v>
                </c:pt>
                <c:pt idx="712">
                  <c:v>1074.6533236811836</c:v>
                </c:pt>
                <c:pt idx="713">
                  <c:v>1078.4200397508646</c:v>
                </c:pt>
                <c:pt idx="714">
                  <c:v>1082.1826164352303</c:v>
                </c:pt>
                <c:pt idx="715">
                  <c:v>1085.9410079267004</c:v>
                </c:pt>
                <c:pt idx="716">
                  <c:v>1089.6951681751457</c:v>
                </c:pt>
                <c:pt idx="717">
                  <c:v>1093.4450509071416</c:v>
                </c:pt>
                <c:pt idx="718">
                  <c:v>1097.1906096445568</c:v>
                </c:pt>
                <c:pt idx="719">
                  <c:v>1100.9317977224966</c:v>
                </c:pt>
                <c:pt idx="720">
                  <c:v>1104.6685683066294</c:v>
                </c:pt>
                <c:pt idx="721">
                  <c:v>1108.4008744099174</c:v>
                </c:pt>
                <c:pt idx="722">
                  <c:v>1112.1286689087769</c:v>
                </c:pt>
                <c:pt idx="723">
                  <c:v>1115.8519045586879</c:v>
                </c:pt>
                <c:pt idx="724">
                  <c:v>1119.5705340092768</c:v>
                </c:pt>
                <c:pt idx="725">
                  <c:v>1123.2845098188932</c:v>
                </c:pt>
                <c:pt idx="726">
                  <c:v>1126.9937844687001</c:v>
                </c:pt>
                <c:pt idx="727">
                  <c:v>1130.6983103762987</c:v>
                </c:pt>
                <c:pt idx="728">
                  <c:v>1134.3980399089041</c:v>
                </c:pt>
                <c:pt idx="729">
                  <c:v>1138.0929253960942</c:v>
                </c:pt>
                <c:pt idx="730">
                  <c:v>1141.782919142144</c:v>
                </c:pt>
                <c:pt idx="731">
                  <c:v>1145.4679734379677</c:v>
                </c:pt>
                <c:pt idx="732">
                  <c:v>1149.1480405726797</c:v>
                </c:pt>
                <c:pt idx="733">
                  <c:v>1152.8230728447941</c:v>
                </c:pt>
                <c:pt idx="734">
                  <c:v>1156.4930225730732</c:v>
                </c:pt>
                <c:pt idx="735">
                  <c:v>1160.1578421070435</c:v>
                </c:pt>
                <c:pt idx="736">
                  <c:v>1163.817483837189</c:v>
                </c:pt>
                <c:pt idx="737">
                  <c:v>1167.4719002048369</c:v>
                </c:pt>
                <c:pt idx="738">
                  <c:v>1171.1210437117466</c:v>
                </c:pt>
                <c:pt idx="739">
                  <c:v>1174.7648669294156</c:v>
                </c:pt>
                <c:pt idx="740">
                  <c:v>1178.4033225081109</c:v>
                </c:pt>
                <c:pt idx="741">
                  <c:v>1182.0363631856385</c:v>
                </c:pt>
                <c:pt idx="742">
                  <c:v>1185.6639417958606</c:v>
                </c:pt>
                <c:pt idx="743">
                  <c:v>1189.2860112769702</c:v>
                </c:pt>
                <c:pt idx="744">
                  <c:v>1192.902524679532</c:v>
                </c:pt>
                <c:pt idx="745">
                  <c:v>1196.5134351742993</c:v>
                </c:pt>
                <c:pt idx="746">
                  <c:v>1200.1186960598138</c:v>
                </c:pt>
                <c:pt idx="747">
                  <c:v>1203.7182607697985</c:v>
                </c:pt>
                <c:pt idx="748">
                  <c:v>1207.312082880348</c:v>
                </c:pt>
                <c:pt idx="749">
                  <c:v>1210.9001161169278</c:v>
                </c:pt>
                <c:pt idx="750">
                  <c:v>1214.482314361185</c:v>
                </c:pt>
                <c:pt idx="751">
                  <c:v>1218.0586316575796</c:v>
                </c:pt>
                <c:pt idx="752">
                  <c:v>1221.6290222198434</c:v>
                </c:pt>
                <c:pt idx="753">
                  <c:v>1225.1934404372691</c:v>
                </c:pt>
                <c:pt idx="754">
                  <c:v>1228.7518408808394</c:v>
                </c:pt>
                <c:pt idx="755">
                  <c:v>1232.3041783091967</c:v>
                </c:pt>
                <c:pt idx="756">
                  <c:v>1235.8504076744641</c:v>
                </c:pt>
                <c:pt idx="757">
                  <c:v>1239.3904841279179</c:v>
                </c:pt>
                <c:pt idx="758">
                  <c:v>1242.9243630255187</c:v>
                </c:pt>
                <c:pt idx="759">
                  <c:v>1246.4519999333045</c:v>
                </c:pt>
                <c:pt idx="760">
                  <c:v>1249.9733506326506</c:v>
                </c:pt>
                <c:pt idx="761">
                  <c:v>1253.4883711254004</c:v>
                </c:pt>
                <c:pt idx="762">
                  <c:v>1256.9970176388699</c:v>
                </c:pt>
                <c:pt idx="763">
                  <c:v>1260.4992466307312</c:v>
                </c:pt>
                <c:pt idx="764">
                  <c:v>1263.9950147937768</c:v>
                </c:pt>
                <c:pt idx="765">
                  <c:v>1267.4842790605685</c:v>
                </c:pt>
                <c:pt idx="766">
                  <c:v>1270.9669966079759</c:v>
                </c:pt>
                <c:pt idx="767">
                  <c:v>1274.443124861604</c:v>
                </c:pt>
                <c:pt idx="768">
                  <c:v>1277.9126215001154</c:v>
                </c:pt>
                <c:pt idx="769">
                  <c:v>1281.3754444594499</c:v>
                </c:pt>
                <c:pt idx="770">
                  <c:v>1284.8315519369417</c:v>
                </c:pt>
                <c:pt idx="771">
                  <c:v>1288.2809023953394</c:v>
                </c:pt>
                <c:pt idx="772">
                  <c:v>1291.7234545667302</c:v>
                </c:pt>
                <c:pt idx="773">
                  <c:v>1295.1591674563697</c:v>
                </c:pt>
                <c:pt idx="774">
                  <c:v>1298.5880003464197</c:v>
                </c:pt>
                <c:pt idx="775">
                  <c:v>1302.0099127995984</c:v>
                </c:pt>
                <c:pt idx="776">
                  <c:v>1305.4248646627411</c:v>
                </c:pt>
                <c:pt idx="777">
                  <c:v>1308.8328160702761</c:v>
                </c:pt>
                <c:pt idx="778">
                  <c:v>1312.2337274476167</c:v>
                </c:pt>
                <c:pt idx="779">
                  <c:v>1315.6275595144714</c:v>
                </c:pt>
                <c:pt idx="780">
                  <c:v>1319.014273288072</c:v>
                </c:pt>
                <c:pt idx="781">
                  <c:v>1322.3938300863251</c:v>
                </c:pt>
                <c:pt idx="782">
                  <c:v>1325.7661915308843</c:v>
                </c:pt>
                <c:pt idx="783">
                  <c:v>1329.1313195501466</c:v>
                </c:pt>
                <c:pt idx="784">
                  <c:v>1332.4891763821749</c:v>
                </c:pt>
                <c:pt idx="785">
                  <c:v>1335.839724577547</c:v>
                </c:pt>
                <c:pt idx="786">
                  <c:v>1339.182927002131</c:v>
                </c:pt>
                <c:pt idx="787">
                  <c:v>1342.5187468397919</c:v>
                </c:pt>
                <c:pt idx="788">
                  <c:v>1345.8471475950269</c:v>
                </c:pt>
                <c:pt idx="789">
                  <c:v>1349.1680930955324</c:v>
                </c:pt>
                <c:pt idx="790">
                  <c:v>1352.481547494704</c:v>
                </c:pt>
                <c:pt idx="791">
                  <c:v>1355.7874752740686</c:v>
                </c:pt>
                <c:pt idx="792">
                  <c:v>1359.0858412456521</c:v>
                </c:pt>
                <c:pt idx="793">
                  <c:v>1362.3766105542818</c:v>
                </c:pt>
                <c:pt idx="794">
                  <c:v>1365.659748679825</c:v>
                </c:pt>
                <c:pt idx="795">
                  <c:v>1368.9352214393646</c:v>
                </c:pt>
                <c:pt idx="796">
                  <c:v>1372.2029949893124</c:v>
                </c:pt>
                <c:pt idx="797">
                  <c:v>1375.4630358274619</c:v>
                </c:pt>
                <c:pt idx="798">
                  <c:v>1378.7153107949796</c:v>
                </c:pt>
                <c:pt idx="799">
                  <c:v>1381.9597870783366</c:v>
                </c:pt>
                <c:pt idx="800">
                  <c:v>1385.1964322111814</c:v>
                </c:pt>
                <c:pt idx="801">
                  <c:v>1388.4252140761548</c:v>
                </c:pt>
                <c:pt idx="802">
                  <c:v>1391.646100906645</c:v>
                </c:pt>
                <c:pt idx="803">
                  <c:v>1394.8590612884882</c:v>
                </c:pt>
                <c:pt idx="804">
                  <c:v>1398.064064161611</c:v>
                </c:pt>
                <c:pt idx="805">
                  <c:v>1401.261078821617</c:v>
                </c:pt>
                <c:pt idx="806">
                  <c:v>1404.4500749213191</c:v>
                </c:pt>
                <c:pt idx="807">
                  <c:v>1407.6310224722156</c:v>
                </c:pt>
                <c:pt idx="808">
                  <c:v>1410.8038918459135</c:v>
                </c:pt>
                <c:pt idx="809">
                  <c:v>1413.9686537754972</c:v>
                </c:pt>
                <c:pt idx="810">
                  <c:v>1417.1252793568437</c:v>
                </c:pt>
                <c:pt idx="811">
                  <c:v>1420.2737400498872</c:v>
                </c:pt>
                <c:pt idx="812">
                  <c:v>1423.4140076798283</c:v>
                </c:pt>
                <c:pt idx="813">
                  <c:v>1426.5460544382943</c:v>
                </c:pt>
                <c:pt idx="814">
                  <c:v>1429.669852884447</c:v>
                </c:pt>
                <c:pt idx="815">
                  <c:v>1432.7853759460399</c:v>
                </c:pt>
                <c:pt idx="816">
                  <c:v>1435.8925969204254</c:v>
                </c:pt>
                <c:pt idx="817">
                  <c:v>1438.9914894755109</c:v>
                </c:pt>
                <c:pt idx="818">
                  <c:v>1442.0820276506672</c:v>
                </c:pt>
                <c:pt idx="819">
                  <c:v>1445.1641858575865</c:v>
                </c:pt>
                <c:pt idx="820">
                  <c:v>1448.2379388810923</c:v>
                </c:pt>
                <c:pt idx="821">
                  <c:v>1451.3032618799011</c:v>
                </c:pt>
                <c:pt idx="822">
                  <c:v>1454.3601303873356</c:v>
                </c:pt>
                <c:pt idx="823">
                  <c:v>1457.4085203119917</c:v>
                </c:pt>
                <c:pt idx="824">
                  <c:v>1460.4484079383565</c:v>
                </c:pt>
                <c:pt idx="825">
                  <c:v>1463.479769927382</c:v>
                </c:pt>
                <c:pt idx="826">
                  <c:v>1466.5025833170105</c:v>
                </c:pt>
                <c:pt idx="827">
                  <c:v>1469.5168255226545</c:v>
                </c:pt>
                <c:pt idx="828">
                  <c:v>1472.5224743376314</c:v>
                </c:pt>
                <c:pt idx="829">
                  <c:v>1475.5195079335533</c:v>
                </c:pt>
                <c:pt idx="830">
                  <c:v>1478.5079048606708</c:v>
                </c:pt>
                <c:pt idx="831">
                  <c:v>1481.4876440481733</c:v>
                </c:pt>
                <c:pt idx="832">
                  <c:v>1484.4587048044439</c:v>
                </c:pt>
                <c:pt idx="833">
                  <c:v>1487.421066817272</c:v>
                </c:pt>
                <c:pt idx="834">
                  <c:v>1490.3747101540221</c:v>
                </c:pt>
                <c:pt idx="835">
                  <c:v>1493.3196152617577</c:v>
                </c:pt>
                <c:pt idx="836">
                  <c:v>1496.2557629673249</c:v>
                </c:pt>
                <c:pt idx="837">
                  <c:v>1499.1831344773923</c:v>
                </c:pt>
                <c:pt idx="838">
                  <c:v>1502.1017113784483</c:v>
                </c:pt>
                <c:pt idx="839">
                  <c:v>1505.0114756367577</c:v>
                </c:pt>
                <c:pt idx="840">
                  <c:v>1507.9124095982766</c:v>
                </c:pt>
                <c:pt idx="841">
                  <c:v>1510.8044959885256</c:v>
                </c:pt>
                <c:pt idx="842">
                  <c:v>1513.6877179124231</c:v>
                </c:pt>
                <c:pt idx="843">
                  <c:v>1516.5620588540776</c:v>
                </c:pt>
                <c:pt idx="844">
                  <c:v>1519.4275026765401</c:v>
                </c:pt>
                <c:pt idx="845">
                  <c:v>1522.2840336215174</c:v>
                </c:pt>
                <c:pt idx="846">
                  <c:v>1525.1316363090443</c:v>
                </c:pt>
                <c:pt idx="847">
                  <c:v>1527.9702957371192</c:v>
                </c:pt>
                <c:pt idx="848">
                  <c:v>1530.7999972812984</c:v>
                </c:pt>
                <c:pt idx="849">
                  <c:v>1533.6207266942545</c:v>
                </c:pt>
                <c:pt idx="850">
                  <c:v>1536.4324701052947</c:v>
                </c:pt>
                <c:pt idx="851">
                  <c:v>1539.2352140198432</c:v>
                </c:pt>
                <c:pt idx="852">
                  <c:v>1542.0289453188846</c:v>
                </c:pt>
                <c:pt idx="853">
                  <c:v>1544.8136512583717</c:v>
                </c:pt>
                <c:pt idx="854">
                  <c:v>1547.5893194685957</c:v>
                </c:pt>
                <c:pt idx="855">
                  <c:v>1550.3559379535209</c:v>
                </c:pt>
                <c:pt idx="856">
                  <c:v>1553.1134950900828</c:v>
                </c:pt>
                <c:pt idx="857">
                  <c:v>1555.8619796274511</c:v>
                </c:pt>
                <c:pt idx="858">
                  <c:v>1558.601380686257</c:v>
                </c:pt>
                <c:pt idx="859">
                  <c:v>1561.3316877577861</c:v>
                </c:pt>
                <c:pt idx="860">
                  <c:v>1564.0528907031367</c:v>
                </c:pt>
                <c:pt idx="861">
                  <c:v>1566.7649797523432</c:v>
                </c:pt>
                <c:pt idx="862">
                  <c:v>1569.467945503467</c:v>
                </c:pt>
                <c:pt idx="863">
                  <c:v>1572.1617789216532</c:v>
                </c:pt>
                <c:pt idx="864">
                  <c:v>1574.8464713381536</c:v>
                </c:pt>
                <c:pt idx="865">
                  <c:v>1577.522014449318</c:v>
                </c:pt>
                <c:pt idx="866">
                  <c:v>1580.1884003155533</c:v>
                </c:pt>
                <c:pt idx="867">
                  <c:v>1582.8456213602492</c:v>
                </c:pt>
                <c:pt idx="868">
                  <c:v>1585.4936703686742</c:v>
                </c:pt>
                <c:pt idx="869">
                  <c:v>1588.1325404868383</c:v>
                </c:pt>
                <c:pt idx="870">
                  <c:v>1590.7622252203266</c:v>
                </c:pt>
                <c:pt idx="871">
                  <c:v>1593.3827184331017</c:v>
                </c:pt>
                <c:pt idx="872">
                  <c:v>1595.9940143462752</c:v>
                </c:pt>
                <c:pt idx="873">
                  <c:v>1598.5961075368512</c:v>
                </c:pt>
                <c:pt idx="874">
                  <c:v>1601.1889929364384</c:v>
                </c:pt>
                <c:pt idx="875">
                  <c:v>1603.7726658299352</c:v>
                </c:pt>
                <c:pt idx="876">
                  <c:v>1606.3471218541847</c:v>
                </c:pt>
                <c:pt idx="877">
                  <c:v>1608.9123569966018</c:v>
                </c:pt>
                <c:pt idx="878">
                  <c:v>1611.4683675937733</c:v>
                </c:pt>
                <c:pt idx="879">
                  <c:v>1614.0151503300297</c:v>
                </c:pt>
                <c:pt idx="880">
                  <c:v>1616.5527022359895</c:v>
                </c:pt>
                <c:pt idx="881">
                  <c:v>1619.0810206870783</c:v>
                </c:pt>
                <c:pt idx="882">
                  <c:v>1621.6001034020205</c:v>
                </c:pt>
                <c:pt idx="883">
                  <c:v>1624.1099484413055</c:v>
                </c:pt>
                <c:pt idx="884">
                  <c:v>1626.6105542056277</c:v>
                </c:pt>
                <c:pt idx="885">
                  <c:v>1629.101919434303</c:v>
                </c:pt>
                <c:pt idx="886">
                  <c:v>1631.5840432036587</c:v>
                </c:pt>
                <c:pt idx="887">
                  <c:v>1634.0569249254002</c:v>
                </c:pt>
                <c:pt idx="888">
                  <c:v>1636.5205643449535</c:v>
                </c:pt>
                <c:pt idx="889">
                  <c:v>1638.9749615397848</c:v>
                </c:pt>
                <c:pt idx="890">
                  <c:v>1638.9749615397848</c:v>
                </c:pt>
                <c:pt idx="891">
                  <c:v>1638.9749615397848</c:v>
                </c:pt>
                <c:pt idx="892">
                  <c:v>1638.9749615397848</c:v>
                </c:pt>
                <c:pt idx="893">
                  <c:v>1638.9749615397848</c:v>
                </c:pt>
                <c:pt idx="894">
                  <c:v>1638.9749615397848</c:v>
                </c:pt>
                <c:pt idx="895">
                  <c:v>1638.9749615397848</c:v>
                </c:pt>
                <c:pt idx="896">
                  <c:v>1638.9749615397848</c:v>
                </c:pt>
                <c:pt idx="897">
                  <c:v>1638.9749615397848</c:v>
                </c:pt>
                <c:pt idx="898">
                  <c:v>1638.9749615397848</c:v>
                </c:pt>
                <c:pt idx="899">
                  <c:v>1638.9749615397848</c:v>
                </c:pt>
                <c:pt idx="900">
                  <c:v>1638.9749615397848</c:v>
                </c:pt>
                <c:pt idx="901">
                  <c:v>1638.9749615397848</c:v>
                </c:pt>
                <c:pt idx="902">
                  <c:v>1638.9749615397848</c:v>
                </c:pt>
                <c:pt idx="903">
                  <c:v>1638.9749615397848</c:v>
                </c:pt>
                <c:pt idx="904">
                  <c:v>1638.9749615397848</c:v>
                </c:pt>
                <c:pt idx="905">
                  <c:v>1638.9749615397848</c:v>
                </c:pt>
                <c:pt idx="906">
                  <c:v>1638.9749615397848</c:v>
                </c:pt>
                <c:pt idx="907">
                  <c:v>1638.9749615397848</c:v>
                </c:pt>
                <c:pt idx="908">
                  <c:v>1638.9749615397848</c:v>
                </c:pt>
                <c:pt idx="909">
                  <c:v>1638.9749615397848</c:v>
                </c:pt>
                <c:pt idx="910">
                  <c:v>1638.9749615397848</c:v>
                </c:pt>
                <c:pt idx="911">
                  <c:v>1638.9749615397848</c:v>
                </c:pt>
                <c:pt idx="912">
                  <c:v>1638.9749615397848</c:v>
                </c:pt>
                <c:pt idx="913">
                  <c:v>1638.9749615397848</c:v>
                </c:pt>
                <c:pt idx="914">
                  <c:v>1638.9749615397848</c:v>
                </c:pt>
                <c:pt idx="915">
                  <c:v>1638.9749615397848</c:v>
                </c:pt>
                <c:pt idx="916">
                  <c:v>1638.9749615397848</c:v>
                </c:pt>
                <c:pt idx="917">
                  <c:v>1638.9749615397848</c:v>
                </c:pt>
                <c:pt idx="918">
                  <c:v>1638.9749615397848</c:v>
                </c:pt>
                <c:pt idx="919">
                  <c:v>1638.9749615397848</c:v>
                </c:pt>
                <c:pt idx="920">
                  <c:v>1638.9749615397848</c:v>
                </c:pt>
                <c:pt idx="921">
                  <c:v>1638.9749615397848</c:v>
                </c:pt>
                <c:pt idx="922">
                  <c:v>1638.9749615397848</c:v>
                </c:pt>
                <c:pt idx="923">
                  <c:v>1638.9749615397848</c:v>
                </c:pt>
                <c:pt idx="924">
                  <c:v>1638.9749615397848</c:v>
                </c:pt>
                <c:pt idx="925">
                  <c:v>1638.9749615397848</c:v>
                </c:pt>
                <c:pt idx="926">
                  <c:v>1638.9749615397848</c:v>
                </c:pt>
                <c:pt idx="927">
                  <c:v>1638.9749615397848</c:v>
                </c:pt>
                <c:pt idx="928">
                  <c:v>1638.9749615397848</c:v>
                </c:pt>
                <c:pt idx="929">
                  <c:v>1638.9749615397848</c:v>
                </c:pt>
                <c:pt idx="930">
                  <c:v>1638.9749615397848</c:v>
                </c:pt>
                <c:pt idx="931">
                  <c:v>1638.9749615397848</c:v>
                </c:pt>
                <c:pt idx="932">
                  <c:v>1638.9749615397848</c:v>
                </c:pt>
                <c:pt idx="933">
                  <c:v>1638.9749615397848</c:v>
                </c:pt>
                <c:pt idx="934">
                  <c:v>1638.9749615397848</c:v>
                </c:pt>
                <c:pt idx="935">
                  <c:v>1638.9749615397848</c:v>
                </c:pt>
                <c:pt idx="936">
                  <c:v>1638.9749615397848</c:v>
                </c:pt>
                <c:pt idx="937">
                  <c:v>1638.9749615397848</c:v>
                </c:pt>
                <c:pt idx="938">
                  <c:v>1638.9749615397848</c:v>
                </c:pt>
                <c:pt idx="939">
                  <c:v>1638.9749615397848</c:v>
                </c:pt>
                <c:pt idx="940">
                  <c:v>1638.9749615397848</c:v>
                </c:pt>
                <c:pt idx="941">
                  <c:v>1638.9749615397848</c:v>
                </c:pt>
                <c:pt idx="942">
                  <c:v>1638.9749615397848</c:v>
                </c:pt>
                <c:pt idx="943">
                  <c:v>1638.9749615397848</c:v>
                </c:pt>
                <c:pt idx="944">
                  <c:v>1638.9749615397848</c:v>
                </c:pt>
                <c:pt idx="945">
                  <c:v>1638.9749615397848</c:v>
                </c:pt>
                <c:pt idx="946">
                  <c:v>1638.9749615397848</c:v>
                </c:pt>
                <c:pt idx="947">
                  <c:v>1638.9749615397848</c:v>
                </c:pt>
                <c:pt idx="948">
                  <c:v>1638.9749615397848</c:v>
                </c:pt>
                <c:pt idx="949">
                  <c:v>1638.9749615397848</c:v>
                </c:pt>
                <c:pt idx="950">
                  <c:v>1638.9749615397848</c:v>
                </c:pt>
                <c:pt idx="951">
                  <c:v>1638.9749615397848</c:v>
                </c:pt>
                <c:pt idx="952">
                  <c:v>1638.9749615397848</c:v>
                </c:pt>
                <c:pt idx="953">
                  <c:v>1638.9749615397848</c:v>
                </c:pt>
                <c:pt idx="954">
                  <c:v>1638.9749615397848</c:v>
                </c:pt>
                <c:pt idx="955">
                  <c:v>1638.9749615397848</c:v>
                </c:pt>
                <c:pt idx="956">
                  <c:v>1638.9749615397848</c:v>
                </c:pt>
                <c:pt idx="957">
                  <c:v>1638.9749615397848</c:v>
                </c:pt>
                <c:pt idx="958">
                  <c:v>1638.9749615397848</c:v>
                </c:pt>
                <c:pt idx="959">
                  <c:v>1638.9749615397848</c:v>
                </c:pt>
                <c:pt idx="960">
                  <c:v>1638.9749615397848</c:v>
                </c:pt>
                <c:pt idx="961">
                  <c:v>1638.9749615397848</c:v>
                </c:pt>
                <c:pt idx="962">
                  <c:v>1638.9749615397848</c:v>
                </c:pt>
                <c:pt idx="963">
                  <c:v>1638.9749615397848</c:v>
                </c:pt>
                <c:pt idx="964">
                  <c:v>1638.9749615397848</c:v>
                </c:pt>
                <c:pt idx="965">
                  <c:v>1638.9749615397848</c:v>
                </c:pt>
                <c:pt idx="966">
                  <c:v>1638.9749615397848</c:v>
                </c:pt>
                <c:pt idx="967">
                  <c:v>1638.9749615397848</c:v>
                </c:pt>
                <c:pt idx="968">
                  <c:v>1638.9749615397848</c:v>
                </c:pt>
                <c:pt idx="969">
                  <c:v>1638.9749615397848</c:v>
                </c:pt>
                <c:pt idx="970">
                  <c:v>1638.9749615397848</c:v>
                </c:pt>
                <c:pt idx="971">
                  <c:v>1638.9749615397848</c:v>
                </c:pt>
                <c:pt idx="972">
                  <c:v>1638.9749615397848</c:v>
                </c:pt>
                <c:pt idx="973">
                  <c:v>1638.9749615397848</c:v>
                </c:pt>
                <c:pt idx="974">
                  <c:v>1638.9749615397848</c:v>
                </c:pt>
                <c:pt idx="975">
                  <c:v>1638.9749615397848</c:v>
                </c:pt>
                <c:pt idx="976">
                  <c:v>1638.9749615397848</c:v>
                </c:pt>
                <c:pt idx="977">
                  <c:v>1638.9749615397848</c:v>
                </c:pt>
                <c:pt idx="978">
                  <c:v>1638.9749615397848</c:v>
                </c:pt>
                <c:pt idx="979">
                  <c:v>1638.9749615397848</c:v>
                </c:pt>
                <c:pt idx="980">
                  <c:v>1638.9749615397848</c:v>
                </c:pt>
                <c:pt idx="981">
                  <c:v>1638.9749615397848</c:v>
                </c:pt>
                <c:pt idx="982">
                  <c:v>1638.9749615397848</c:v>
                </c:pt>
                <c:pt idx="983">
                  <c:v>1638.9749615397848</c:v>
                </c:pt>
                <c:pt idx="984">
                  <c:v>1638.9749615397848</c:v>
                </c:pt>
                <c:pt idx="985">
                  <c:v>1638.9749615397848</c:v>
                </c:pt>
                <c:pt idx="986">
                  <c:v>1638.9749615397848</c:v>
                </c:pt>
                <c:pt idx="987">
                  <c:v>1638.9749615397848</c:v>
                </c:pt>
                <c:pt idx="988">
                  <c:v>1638.9749615397848</c:v>
                </c:pt>
                <c:pt idx="989">
                  <c:v>1638.9749615397848</c:v>
                </c:pt>
                <c:pt idx="990">
                  <c:v>1638.9749615397848</c:v>
                </c:pt>
                <c:pt idx="991">
                  <c:v>1638.9749615397848</c:v>
                </c:pt>
                <c:pt idx="992">
                  <c:v>1638.9749615397848</c:v>
                </c:pt>
                <c:pt idx="993">
                  <c:v>1638.9749615397848</c:v>
                </c:pt>
                <c:pt idx="994">
                  <c:v>1638.9749615397848</c:v>
                </c:pt>
                <c:pt idx="995">
                  <c:v>1638.9749615397848</c:v>
                </c:pt>
                <c:pt idx="996">
                  <c:v>1638.9749615397848</c:v>
                </c:pt>
                <c:pt idx="997">
                  <c:v>1638.9749615397848</c:v>
                </c:pt>
                <c:pt idx="998">
                  <c:v>1638.9749615397848</c:v>
                </c:pt>
                <c:pt idx="999">
                  <c:v>1638.9749615397848</c:v>
                </c:pt>
                <c:pt idx="1000">
                  <c:v>1638.9749615397848</c:v>
                </c:pt>
              </c:numCache>
            </c:numRef>
          </c:xVal>
          <c:yVal>
            <c:numRef>
              <c:f>Calculs!$K$4:$K$1004</c:f>
              <c:numCache>
                <c:formatCode>0.00</c:formatCode>
                <c:ptCount val="1001"/>
                <c:pt idx="0">
                  <c:v>0</c:v>
                </c:pt>
                <c:pt idx="1">
                  <c:v>2.6452165658300903E-4</c:v>
                </c:pt>
                <c:pt idx="2">
                  <c:v>1.8747213115951592E-3</c:v>
                </c:pt>
                <c:pt idx="3">
                  <c:v>5.9861442544103249E-3</c:v>
                </c:pt>
                <c:pt idx="4">
                  <c:v>1.3276817814292706E-2</c:v>
                </c:pt>
                <c:pt idx="5">
                  <c:v>2.4425215615250705E-2</c:v>
                </c:pt>
                <c:pt idx="6">
                  <c:v>4.0110325488383718E-2</c:v>
                </c:pt>
                <c:pt idx="7">
                  <c:v>6.1011717008833427E-2</c:v>
                </c:pt>
                <c:pt idx="8">
                  <c:v>8.780960867822267E-2</c:v>
                </c:pt>
                <c:pt idx="9">
                  <c:v>0.12118493477305489</c:v>
                </c:pt>
                <c:pt idx="10">
                  <c:v>0.16181941187915372</c:v>
                </c:pt>
                <c:pt idx="11">
                  <c:v>0.21020066472836854</c:v>
                </c:pt>
                <c:pt idx="12">
                  <c:v>0.26642697690046763</c:v>
                </c:pt>
                <c:pt idx="13">
                  <c:v>0.33040022988535855</c:v>
                </c:pt>
                <c:pt idx="14">
                  <c:v>0.40201918266339187</c:v>
                </c:pt>
                <c:pt idx="15">
                  <c:v>0.48118095439903419</c:v>
                </c:pt>
                <c:pt idx="16">
                  <c:v>0.56778250976729483</c:v>
                </c:pt>
                <c:pt idx="17">
                  <c:v>0.66172066136732088</c:v>
                </c:pt>
                <c:pt idx="18">
                  <c:v>0.76289207213410049</c:v>
                </c:pt>
                <c:pt idx="19">
                  <c:v>0.87119325774803302</c:v>
                </c:pt>
                <c:pt idx="20">
                  <c:v>0.98652058904212536</c:v>
                </c:pt>
                <c:pt idx="21">
                  <c:v>1.1087702944065749</c:v>
                </c:pt>
                <c:pt idx="22">
                  <c:v>1.2378384621905032</c:v>
                </c:pt>
                <c:pt idx="23">
                  <c:v>1.3736210431006013</c:v>
                </c:pt>
                <c:pt idx="24">
                  <c:v>1.5160138525964557</c:v>
                </c:pt>
                <c:pt idx="25">
                  <c:v>1.6649125732823176</c:v>
                </c:pt>
                <c:pt idx="26">
                  <c:v>1.8202127572950877</c:v>
                </c:pt>
                <c:pt idx="27">
                  <c:v>1.9818359875719997</c:v>
                </c:pt>
                <c:pt idx="28">
                  <c:v>2.1497560753556342</c:v>
                </c:pt>
                <c:pt idx="29">
                  <c:v>2.3239729563518665</c:v>
                </c:pt>
                <c:pt idx="30">
                  <c:v>2.5044865494497888</c:v>
                </c:pt>
                <c:pt idx="31">
                  <c:v>2.6912967567064605</c:v>
                </c:pt>
                <c:pt idx="32">
                  <c:v>2.8844034633318785</c:v>
                </c:pt>
                <c:pt idx="33">
                  <c:v>3.0838065376741701</c:v>
                </c:pt>
                <c:pt idx="34">
                  <c:v>3.2895058312050081</c:v>
                </c:pt>
                <c:pt idx="35">
                  <c:v>3.5015011785052468</c:v>
                </c:pt>
                <c:pt idx="36">
                  <c:v>3.719792397250782</c:v>
                </c:pt>
                <c:pt idx="37">
                  <c:v>3.9443792881986361</c:v>
                </c:pt>
                <c:pt idx="38">
                  <c:v>4.1752468393287172</c:v>
                </c:pt>
                <c:pt idx="39">
                  <c:v>4.4123795689231065</c:v>
                </c:pt>
                <c:pt idx="40">
                  <c:v>4.6557763237240888</c:v>
                </c:pt>
                <c:pt idx="41">
                  <c:v>4.905435943895438</c:v>
                </c:pt>
                <c:pt idx="42">
                  <c:v>5.1613572684116509</c:v>
                </c:pt>
                <c:pt idx="43">
                  <c:v>5.4235391343909862</c:v>
                </c:pt>
                <c:pt idx="44">
                  <c:v>5.6919803764712604</c:v>
                </c:pt>
                <c:pt idx="45">
                  <c:v>5.9666798262247145</c:v>
                </c:pt>
                <c:pt idx="46">
                  <c:v>6.24763631160865</c:v>
                </c:pt>
                <c:pt idx="47">
                  <c:v>6.5348486564488955</c:v>
                </c:pt>
                <c:pt idx="48">
                  <c:v>6.8283156799534481</c:v>
                </c:pt>
                <c:pt idx="49">
                  <c:v>7.1280361962539267</c:v>
                </c:pt>
                <c:pt idx="50">
                  <c:v>7.4340090139726867</c:v>
                </c:pt>
                <c:pt idx="51">
                  <c:v>7.7462329358136586</c:v>
                </c:pt>
                <c:pt idx="52">
                  <c:v>8.0647067581751717</c:v>
                </c:pt>
                <c:pt idx="53">
                  <c:v>8.3894292707831539</c:v>
                </c:pt>
                <c:pt idx="54">
                  <c:v>8.7203992563432813</c:v>
                </c:pt>
                <c:pt idx="55">
                  <c:v>9.0576154902107557</c:v>
                </c:pt>
                <c:pt idx="56">
                  <c:v>9.4010767400764976</c:v>
                </c:pt>
                <c:pt idx="57">
                  <c:v>9.7507817656686875</c:v>
                </c:pt>
                <c:pt idx="58">
                  <c:v>10.106729318468615</c:v>
                </c:pt>
                <c:pt idx="59">
                  <c:v>10.468918141439941</c:v>
                </c:pt>
                <c:pt idx="60">
                  <c:v>10.837346968770524</c:v>
                </c:pt>
                <c:pt idx="61">
                  <c:v>11.212014525626016</c:v>
                </c:pt>
                <c:pt idx="62">
                  <c:v>11.592919527914532</c:v>
                </c:pt>
                <c:pt idx="63">
                  <c:v>11.980060682061726</c:v>
                </c:pt>
                <c:pt idx="64">
                  <c:v>12.373436684795646</c:v>
                </c:pt>
                <c:pt idx="65">
                  <c:v>12.773046222940831</c:v>
                </c:pt>
                <c:pt idx="66">
                  <c:v>13.17888797322111</c:v>
                </c:pt>
                <c:pt idx="67">
                  <c:v>13.590960602070622</c:v>
                </c:pt>
                <c:pt idx="68">
                  <c:v>14.009262765452601</c:v>
                </c:pt>
                <c:pt idx="69">
                  <c:v>14.433793108685522</c:v>
                </c:pt>
                <c:pt idx="70">
                  <c:v>14.864550266276204</c:v>
                </c:pt>
                <c:pt idx="71">
                  <c:v>15.30153286175951</c:v>
                </c:pt>
                <c:pt idx="72">
                  <c:v>15.74473921039629</c:v>
                </c:pt>
                <c:pt idx="73">
                  <c:v>16.1941670215645</c:v>
                </c:pt>
                <c:pt idx="74">
                  <c:v>16.64981369531241</c:v>
                </c:pt>
                <c:pt idx="75">
                  <c:v>17.111676619232473</c:v>
                </c:pt>
                <c:pt idx="76">
                  <c:v>17.579753168334534</c:v>
                </c:pt>
                <c:pt idx="77">
                  <c:v>18.054040704924116</c:v>
                </c:pt>
                <c:pt idx="78">
                  <c:v>18.534536578485511</c:v>
                </c:pt>
                <c:pt idx="79">
                  <c:v>19.021238125569482</c:v>
                </c:pt>
                <c:pt idx="80">
                  <c:v>19.514142669685356</c:v>
                </c:pt>
                <c:pt idx="81">
                  <c:v>20.013247521197304</c:v>
                </c:pt>
                <c:pt idx="82">
                  <c:v>20.518549977224648</c:v>
                </c:pt>
                <c:pt idx="83">
                  <c:v>21.030047321545993</c:v>
                </c:pt>
                <c:pt idx="84">
                  <c:v>21.547736824507041</c:v>
                </c:pt>
                <c:pt idx="85">
                  <c:v>22.071615742931925</c:v>
                </c:pt>
                <c:pt idx="86">
                  <c:v>22.601681320037926</c:v>
                </c:pt>
                <c:pt idx="87">
                  <c:v>23.137930785353412</c:v>
                </c:pt>
                <c:pt idx="88">
                  <c:v>23.680361354638897</c:v>
                </c:pt>
                <c:pt idx="89">
                  <c:v>24.228970229811086</c:v>
                </c:pt>
                <c:pt idx="90">
                  <c:v>24.783754598869791</c:v>
                </c:pt>
                <c:pt idx="91">
                  <c:v>25.344711635827593</c:v>
                </c:pt>
                <c:pt idx="92">
                  <c:v>25.911838500642183</c:v>
                </c:pt>
                <c:pt idx="93">
                  <c:v>26.485132339151235</c:v>
                </c:pt>
                <c:pt idx="94">
                  <c:v>27.064590283009771</c:v>
                </c:pt>
                <c:pt idx="95">
                  <c:v>27.650209449629873</c:v>
                </c:pt>
                <c:pt idx="96">
                  <c:v>28.241986942122701</c:v>
                </c:pt>
                <c:pt idx="97">
                  <c:v>28.839919849242715</c:v>
                </c:pt>
                <c:pt idx="98">
                  <c:v>29.444005245334044</c:v>
                </c:pt>
                <c:pt idx="99">
                  <c:v>30.054240190278886</c:v>
                </c:pt>
                <c:pt idx="100">
                  <c:v>30.670621729447941</c:v>
                </c:pt>
                <c:pt idx="101">
                  <c:v>31.293146893652736</c:v>
                </c:pt>
                <c:pt idx="102">
                  <c:v>31.921812699099831</c:v>
                </c:pt>
                <c:pt idx="103">
                  <c:v>32.556616147346823</c:v>
                </c:pt>
                <c:pt idx="104">
                  <c:v>33.197554225260106</c:v>
                </c:pt>
                <c:pt idx="105">
                  <c:v>33.844623904974306</c:v>
                </c:pt>
                <c:pt idx="106">
                  <c:v>34.497822143853369</c:v>
                </c:pt>
                <c:pt idx="107">
                  <c:v>35.157145884453257</c:v>
                </c:pt>
                <c:pt idx="108">
                  <c:v>35.822592054486151</c:v>
                </c:pt>
                <c:pt idx="109">
                  <c:v>36.494157566786164</c:v>
                </c:pt>
                <c:pt idx="110">
                  <c:v>37.171839319276536</c:v>
                </c:pt>
                <c:pt idx="111">
                  <c:v>37.855634194938219</c:v>
                </c:pt>
                <c:pt idx="112">
                  <c:v>38.54553906177982</c:v>
                </c:pt>
                <c:pt idx="113">
                  <c:v>39.241550772808921</c:v>
                </c:pt>
                <c:pt idx="114">
                  <c:v>39.943666166004668</c:v>
                </c:pt>
                <c:pt idx="115">
                  <c:v>40.651882064291641</c:v>
                </c:pt>
                <c:pt idx="116">
                  <c:v>41.366195275514919</c:v>
                </c:pt>
                <c:pt idx="117">
                  <c:v>42.086602592416405</c:v>
                </c:pt>
                <c:pt idx="118">
                  <c:v>42.813100792612275</c:v>
                </c:pt>
                <c:pt idx="119">
                  <c:v>43.54568663857156</c:v>
                </c:pt>
                <c:pt idx="120">
                  <c:v>44.284356877595876</c:v>
                </c:pt>
                <c:pt idx="121">
                  <c:v>45.029108241800195</c:v>
                </c:pt>
                <c:pt idx="122">
                  <c:v>45.779937448094699</c:v>
                </c:pt>
                <c:pt idx="123">
                  <c:v>46.536841198167657</c:v>
                </c:pt>
                <c:pt idx="124">
                  <c:v>47.299816178469307</c:v>
                </c:pt>
                <c:pt idx="125">
                  <c:v>48.068859060196708</c:v>
                </c:pt>
                <c:pt idx="126">
                  <c:v>48.843966499279595</c:v>
                </c:pt>
                <c:pt idx="127">
                  <c:v>49.62513513636712</c:v>
                </c:pt>
                <c:pt idx="128">
                  <c:v>50.412361596815529</c:v>
                </c:pt>
                <c:pt idx="129">
                  <c:v>51.205641130075634</c:v>
                </c:pt>
                <c:pt idx="130">
                  <c:v>52.004966247768643</c:v>
                </c:pt>
                <c:pt idx="131">
                  <c:v>52.810328082516584</c:v>
                </c:pt>
                <c:pt idx="132">
                  <c:v>53.621717748106796</c:v>
                </c:pt>
                <c:pt idx="133">
                  <c:v>54.439126339525743</c:v>
                </c:pt>
                <c:pt idx="134">
                  <c:v>55.262544932993777</c:v>
                </c:pt>
                <c:pt idx="135">
                  <c:v>56.091964586000927</c:v>
                </c:pt>
                <c:pt idx="136">
                  <c:v>56.927376337343617</c:v>
                </c:pt>
                <c:pt idx="137">
                  <c:v>57.768771207162288</c:v>
                </c:pt>
                <c:pt idx="138">
                  <c:v>58.616140196979977</c:v>
                </c:pt>
                <c:pt idx="139">
                  <c:v>59.46947428974174</c:v>
                </c:pt>
                <c:pt idx="140">
                  <c:v>60.328764449854958</c:v>
                </c:pt>
                <c:pt idx="141">
                  <c:v>61.194001623230506</c:v>
                </c:pt>
                <c:pt idx="142">
                  <c:v>62.06517673732472</c:v>
                </c:pt>
                <c:pt idx="143">
                  <c:v>62.942280701182206</c:v>
                </c:pt>
                <c:pt idx="144">
                  <c:v>63.825304405479422</c:v>
                </c:pt>
                <c:pt idx="145">
                  <c:v>64.71423872256905</c:v>
                </c:pt>
                <c:pt idx="146">
                  <c:v>65.609074506525104</c:v>
                </c:pt>
                <c:pt idx="147">
                  <c:v>66.509802593188823</c:v>
                </c:pt>
                <c:pt idx="148">
                  <c:v>67.416413800215238</c:v>
                </c:pt>
                <c:pt idx="149">
                  <c:v>68.328898927120534</c:v>
                </c:pt>
                <c:pt idx="150">
                  <c:v>69.247248755330006</c:v>
                </c:pt>
                <c:pt idx="151">
                  <c:v>70.171454048226764</c:v>
                </c:pt>
                <c:pt idx="152">
                  <c:v>71.101505551201114</c:v>
                </c:pt>
                <c:pt idx="153">
                  <c:v>72.037393991700569</c:v>
                </c:pt>
                <c:pt idx="154">
                  <c:v>72.979110079280517</c:v>
                </c:pt>
                <c:pt idx="155">
                  <c:v>73.926644505655489</c:v>
                </c:pt>
                <c:pt idx="156">
                  <c:v>74.879987944751093</c:v>
                </c:pt>
                <c:pt idx="157">
                  <c:v>75.839131052756542</c:v>
                </c:pt>
                <c:pt idx="158">
                  <c:v>76.804064468177742</c:v>
                </c:pt>
                <c:pt idx="159">
                  <c:v>77.774778811890997</c:v>
                </c:pt>
                <c:pt idx="160">
                  <c:v>78.751264687197249</c:v>
                </c:pt>
                <c:pt idx="161">
                  <c:v>79.733512679876952</c:v>
                </c:pt>
                <c:pt idx="162">
                  <c:v>80.721513358245417</c:v>
                </c:pt>
                <c:pt idx="163">
                  <c:v>81.715257273208707</c:v>
                </c:pt>
                <c:pt idx="164">
                  <c:v>82.714734958320108</c:v>
                </c:pt>
                <c:pt idx="165">
                  <c:v>83.719936929837061</c:v>
                </c:pt>
                <c:pt idx="166">
                  <c:v>84.730853686778673</c:v>
                </c:pt>
                <c:pt idx="167">
                  <c:v>85.74747571098365</c:v>
                </c:pt>
                <c:pt idx="168">
                  <c:v>86.769793467168739</c:v>
                </c:pt>
                <c:pt idx="169">
                  <c:v>87.797797402987726</c:v>
                </c:pt>
                <c:pt idx="170">
                  <c:v>88.831477949090768</c:v>
                </c:pt>
                <c:pt idx="171">
                  <c:v>89.870825519184336</c:v>
                </c:pt>
                <c:pt idx="172">
                  <c:v>90.915830510091496</c:v>
                </c:pt>
                <c:pt idx="173">
                  <c:v>91.966483301812701</c:v>
                </c:pt>
                <c:pt idx="174">
                  <c:v>93.022774257586988</c:v>
                </c:pt>
                <c:pt idx="175">
                  <c:v>94.084693723953635</c:v>
                </c:pt>
                <c:pt idx="176">
                  <c:v>95.152232030814204</c:v>
                </c:pt>
                <c:pt idx="177">
                  <c:v>96.225379491495033</c:v>
                </c:pt>
                <c:pt idx="178">
                  <c:v>97.304126402810084</c:v>
                </c:pt>
                <c:pt idx="179">
                  <c:v>98.388463045124269</c:v>
                </c:pt>
                <c:pt idx="180">
                  <c:v>99.478379682417099</c:v>
                </c:pt>
                <c:pt idx="181">
                  <c:v>100.57386656234674</c:v>
                </c:pt>
                <c:pt idx="182">
                  <c:v>101.67491391631442</c:v>
                </c:pt>
                <c:pt idx="183">
                  <c:v>102.78151195952928</c:v>
                </c:pt>
                <c:pt idx="184">
                  <c:v>103.89365089107352</c:v>
                </c:pt>
                <c:pt idx="185">
                  <c:v>105.01132089396792</c:v>
                </c:pt>
                <c:pt idx="186">
                  <c:v>106.13451213523769</c:v>
                </c:pt>
                <c:pt idx="187">
                  <c:v>107.26321476597873</c:v>
                </c:pt>
                <c:pt idx="188">
                  <c:v>108.39741892142416</c:v>
                </c:pt>
                <c:pt idx="189">
                  <c:v>109.53711472101122</c:v>
                </c:pt>
                <c:pt idx="190">
                  <c:v>110.68229226844845</c:v>
                </c:pt>
                <c:pt idx="191">
                  <c:v>111.83294165178324</c:v>
                </c:pt>
                <c:pt idx="192">
                  <c:v>112.9890529434697</c:v>
                </c:pt>
                <c:pt idx="193">
                  <c:v>114.15061620043674</c:v>
                </c:pt>
                <c:pt idx="194">
                  <c:v>115.31762146415659</c:v>
                </c:pt>
                <c:pt idx="195">
                  <c:v>116.49005876071348</c:v>
                </c:pt>
                <c:pt idx="196">
                  <c:v>117.66791810087275</c:v>
                </c:pt>
                <c:pt idx="197">
                  <c:v>118.85118948015013</c:v>
                </c:pt>
                <c:pt idx="198">
                  <c:v>120.03986287888128</c:v>
                </c:pt>
                <c:pt idx="199">
                  <c:v>121.2339282622918</c:v>
                </c:pt>
                <c:pt idx="200">
                  <c:v>122.43337558056723</c:v>
                </c:pt>
                <c:pt idx="201">
                  <c:v>123.63819476892355</c:v>
                </c:pt>
                <c:pt idx="202">
                  <c:v>124.84837574767781</c:v>
                </c:pt>
                <c:pt idx="203">
                  <c:v>126.06390842231899</c:v>
                </c:pt>
                <c:pt idx="204">
                  <c:v>127.28478268357927</c:v>
                </c:pt>
                <c:pt idx="205">
                  <c:v>128.51098840750535</c:v>
                </c:pt>
                <c:pt idx="206">
                  <c:v>129.74251512626549</c:v>
                </c:pt>
                <c:pt idx="207">
                  <c:v>130.97935169872864</c:v>
                </c:pt>
                <c:pt idx="208">
                  <c:v>132.22148663954596</c:v>
                </c:pt>
                <c:pt idx="209">
                  <c:v>133.46890844846675</c:v>
                </c:pt>
                <c:pt idx="210">
                  <c:v>134.7216056104229</c:v>
                </c:pt>
                <c:pt idx="211">
                  <c:v>135.97956659561365</c:v>
                </c:pt>
                <c:pt idx="212">
                  <c:v>137.24277985959051</c:v>
                </c:pt>
                <c:pt idx="213">
                  <c:v>138.51123384334235</c:v>
                </c:pt>
                <c:pt idx="214">
                  <c:v>139.78491697338069</c:v>
                </c:pt>
                <c:pt idx="215">
                  <c:v>141.0638176618252</c:v>
                </c:pt>
                <c:pt idx="216">
                  <c:v>142.34792430648938</c:v>
                </c:pt>
                <c:pt idx="217">
                  <c:v>143.63722529096634</c:v>
                </c:pt>
                <c:pt idx="218">
                  <c:v>144.93170898471493</c:v>
                </c:pt>
                <c:pt idx="219">
                  <c:v>146.23136374314575</c:v>
                </c:pt>
                <c:pt idx="220">
                  <c:v>147.53617790770755</c:v>
                </c:pt>
                <c:pt idx="221">
                  <c:v>148.84613980597379</c:v>
                </c:pt>
                <c:pt idx="222">
                  <c:v>150.16123775172917</c:v>
                </c:pt>
                <c:pt idx="223">
                  <c:v>151.48146004505645</c:v>
                </c:pt>
                <c:pt idx="224">
                  <c:v>152.80679497242335</c:v>
                </c:pt>
                <c:pt idx="225">
                  <c:v>154.13723080676965</c:v>
                </c:pt>
                <c:pt idx="226">
                  <c:v>155.47275580759438</c:v>
                </c:pt>
                <c:pt idx="227">
                  <c:v>156.81335822104313</c:v>
                </c:pt>
                <c:pt idx="228">
                  <c:v>158.15902627999543</c:v>
                </c:pt>
                <c:pt idx="229">
                  <c:v>159.5097482041524</c:v>
                </c:pt>
                <c:pt idx="230">
                  <c:v>160.86551220012439</c:v>
                </c:pt>
                <c:pt idx="231">
                  <c:v>162.22630646151876</c:v>
                </c:pt>
                <c:pt idx="232">
                  <c:v>163.5921191690278</c:v>
                </c:pt>
                <c:pt idx="233">
                  <c:v>164.96293849051671</c:v>
                </c:pt>
                <c:pt idx="234">
                  <c:v>166.33875258111166</c:v>
                </c:pt>
                <c:pt idx="235">
                  <c:v>167.71954958328806</c:v>
                </c:pt>
                <c:pt idx="236">
                  <c:v>169.10531762695871</c:v>
                </c:pt>
                <c:pt idx="237">
                  <c:v>170.49604482956232</c:v>
                </c:pt>
                <c:pt idx="238">
                  <c:v>171.89171929615185</c:v>
                </c:pt>
                <c:pt idx="239">
                  <c:v>173.29232911948304</c:v>
                </c:pt>
                <c:pt idx="240">
                  <c:v>174.69786238010306</c:v>
                </c:pt>
                <c:pt idx="241">
                  <c:v>176.1083071464391</c:v>
                </c:pt>
                <c:pt idx="242">
                  <c:v>177.52365033978674</c:v>
                </c:pt>
                <c:pt idx="243">
                  <c:v>178.94387659867462</c:v>
                </c:pt>
                <c:pt idx="244">
                  <c:v>180.36896941347234</c:v>
                </c:pt>
                <c:pt idx="245">
                  <c:v>181.79891226164392</c:v>
                </c:pt>
                <c:pt idx="246">
                  <c:v>183.23368860788108</c:v>
                </c:pt>
                <c:pt idx="247">
                  <c:v>184.6732819042364</c:v>
                </c:pt>
                <c:pt idx="248">
                  <c:v>186.11767559025643</c:v>
                </c:pt>
                <c:pt idx="249">
                  <c:v>187.56685309311473</c:v>
                </c:pt>
                <c:pt idx="250">
                  <c:v>189.0207978277449</c:v>
                </c:pt>
                <c:pt idx="251">
                  <c:v>190.47949319697344</c:v>
                </c:pt>
                <c:pt idx="252">
                  <c:v>191.94292259165258</c:v>
                </c:pt>
                <c:pt idx="253">
                  <c:v>193.41106939079299</c:v>
                </c:pt>
                <c:pt idx="254">
                  <c:v>194.88391696169643</c:v>
                </c:pt>
                <c:pt idx="255">
                  <c:v>196.36144866008826</c:v>
                </c:pt>
                <c:pt idx="256">
                  <c:v>197.84364783024986</c:v>
                </c:pt>
                <c:pt idx="257">
                  <c:v>199.330497805151</c:v>
                </c:pt>
                <c:pt idx="258">
                  <c:v>200.82198190658195</c:v>
                </c:pt>
                <c:pt idx="259">
                  <c:v>202.31808344528565</c:v>
                </c:pt>
                <c:pt idx="260">
                  <c:v>203.8187857210896</c:v>
                </c:pt>
                <c:pt idx="261">
                  <c:v>205.3240720230377</c:v>
                </c:pt>
                <c:pt idx="262">
                  <c:v>206.83392562952199</c:v>
                </c:pt>
                <c:pt idx="263">
                  <c:v>208.34832980841406</c:v>
                </c:pt>
                <c:pt idx="264">
                  <c:v>209.86726781719665</c:v>
                </c:pt>
                <c:pt idx="265">
                  <c:v>211.39072290309468</c:v>
                </c:pt>
                <c:pt idx="266">
                  <c:v>212.91867830320658</c:v>
                </c:pt>
                <c:pt idx="267">
                  <c:v>214.45111724463501</c:v>
                </c:pt>
                <c:pt idx="268">
                  <c:v>215.9880229446178</c:v>
                </c:pt>
                <c:pt idx="269">
                  <c:v>217.52937861065845</c:v>
                </c:pt>
                <c:pt idx="270">
                  <c:v>219.07516744065666</c:v>
                </c:pt>
                <c:pt idx="271">
                  <c:v>220.62537262303846</c:v>
                </c:pt>
                <c:pt idx="272">
                  <c:v>222.1799773368864</c:v>
                </c:pt>
                <c:pt idx="273">
                  <c:v>223.73896475206939</c:v>
                </c:pt>
                <c:pt idx="274">
                  <c:v>225.30231802937243</c:v>
                </c:pt>
                <c:pt idx="275">
                  <c:v>226.87002032062603</c:v>
                </c:pt>
                <c:pt idx="276">
                  <c:v>228.44205476883556</c:v>
                </c:pt>
                <c:pt idx="277">
                  <c:v>230.0184045083104</c:v>
                </c:pt>
                <c:pt idx="278">
                  <c:v>231.59905266479277</c:v>
                </c:pt>
                <c:pt idx="279">
                  <c:v>233.18398235558641</c:v>
                </c:pt>
                <c:pt idx="280">
                  <c:v>234.77317668968504</c:v>
                </c:pt>
                <c:pt idx="281">
                  <c:v>236.36661876790069</c:v>
                </c:pt>
                <c:pt idx="282">
                  <c:v>237.96429168299159</c:v>
                </c:pt>
                <c:pt idx="283">
                  <c:v>239.56617851979001</c:v>
                </c:pt>
                <c:pt idx="284">
                  <c:v>241.17226368396624</c:v>
                </c:pt>
                <c:pt idx="285">
                  <c:v>242.78253423125224</c:v>
                </c:pt>
                <c:pt idx="286">
                  <c:v>244.39697853914555</c:v>
                </c:pt>
                <c:pt idx="287">
                  <c:v>246.01558497812849</c:v>
                </c:pt>
                <c:pt idx="288">
                  <c:v>247.63834191174709</c:v>
                </c:pt>
                <c:pt idx="289">
                  <c:v>249.26523769668998</c:v>
                </c:pt>
                <c:pt idx="290">
                  <c:v>250.89626068286705</c:v>
                </c:pt>
                <c:pt idx="291">
                  <c:v>252.53139921348813</c:v>
                </c:pt>
                <c:pt idx="292">
                  <c:v>254.17064162514157</c:v>
                </c:pt>
                <c:pt idx="293">
                  <c:v>255.81397624787272</c:v>
                </c:pt>
                <c:pt idx="294">
                  <c:v>257.46139140526225</c:v>
                </c:pt>
                <c:pt idx="295">
                  <c:v>259.11287541450451</c:v>
                </c:pt>
                <c:pt idx="296">
                  <c:v>260.76841658648567</c:v>
                </c:pt>
                <c:pt idx="297">
                  <c:v>262.4280032258618</c:v>
                </c:pt>
                <c:pt idx="298">
                  <c:v>264.09162363113694</c:v>
                </c:pt>
                <c:pt idx="299">
                  <c:v>265.75926609474089</c:v>
                </c:pt>
                <c:pt idx="300">
                  <c:v>267.430918903107</c:v>
                </c:pt>
                <c:pt idx="301">
                  <c:v>269.10657033674994</c:v>
                </c:pt>
                <c:pt idx="302">
                  <c:v>270.78620867034311</c:v>
                </c:pt>
                <c:pt idx="303">
                  <c:v>272.46982217279623</c:v>
                </c:pt>
                <c:pt idx="304">
                  <c:v>274.15739910733254</c:v>
                </c:pt>
                <c:pt idx="305">
                  <c:v>275.84892773156616</c:v>
                </c:pt>
                <c:pt idx="306">
                  <c:v>277.54439629757923</c:v>
                </c:pt>
                <c:pt idx="307">
                  <c:v>279.24379305199864</c:v>
                </c:pt>
                <c:pt idx="308">
                  <c:v>280.94710623607318</c:v>
                </c:pt>
                <c:pt idx="309">
                  <c:v>282.65432408575009</c:v>
                </c:pt>
                <c:pt idx="310">
                  <c:v>284.36543483175183</c:v>
                </c:pt>
                <c:pt idx="311">
                  <c:v>286.08042669965243</c:v>
                </c:pt>
                <c:pt idx="312">
                  <c:v>287.79928790995405</c:v>
                </c:pt>
                <c:pt idx="313">
                  <c:v>289.522006678163</c:v>
                </c:pt>
                <c:pt idx="314">
                  <c:v>291.24857121486593</c:v>
                </c:pt>
                <c:pt idx="315">
                  <c:v>292.97896972580583</c:v>
                </c:pt>
                <c:pt idx="316">
                  <c:v>294.7131904119579</c:v>
                </c:pt>
                <c:pt idx="317">
                  <c:v>296.45122146960512</c:v>
                </c:pt>
                <c:pt idx="318">
                  <c:v>298.19305109041386</c:v>
                </c:pt>
                <c:pt idx="319">
                  <c:v>299.93866746150945</c:v>
                </c:pt>
                <c:pt idx="320">
                  <c:v>301.6880587655512</c:v>
                </c:pt>
                <c:pt idx="321">
                  <c:v>303.44121318080778</c:v>
                </c:pt>
                <c:pt idx="322">
                  <c:v>305.19811888123195</c:v>
                </c:pt>
                <c:pt idx="323">
                  <c:v>306.95876403653568</c:v>
                </c:pt>
                <c:pt idx="324">
                  <c:v>308.72313681226461</c:v>
                </c:pt>
                <c:pt idx="325">
                  <c:v>310.49122536987278</c:v>
                </c:pt>
                <c:pt idx="326">
                  <c:v>312.26301794817738</c:v>
                </c:pt>
                <c:pt idx="327">
                  <c:v>314.03850294482965</c:v>
                </c:pt>
                <c:pt idx="328">
                  <c:v>315.81766883499949</c:v>
                </c:pt>
                <c:pt idx="329">
                  <c:v>317.60050409004316</c:v>
                </c:pt>
                <c:pt idx="330">
                  <c:v>319.38699717757447</c:v>
                </c:pt>
                <c:pt idx="331">
                  <c:v>321.17713656153592</c:v>
                </c:pt>
                <c:pt idx="332">
                  <c:v>322.97091070226986</c:v>
                </c:pt>
                <c:pt idx="333">
                  <c:v>324.76830805658915</c:v>
                </c:pt>
                <c:pt idx="334">
                  <c:v>326.56931707784804</c:v>
                </c:pt>
                <c:pt idx="335">
                  <c:v>328.37392621601259</c:v>
                </c:pt>
                <c:pt idx="336">
                  <c:v>330.18212391773108</c:v>
                </c:pt>
                <c:pt idx="337">
                  <c:v>331.99389862640425</c:v>
                </c:pt>
                <c:pt idx="338">
                  <c:v>333.80923878225536</c:v>
                </c:pt>
                <c:pt idx="339">
                  <c:v>335.62813282240023</c:v>
                </c:pt>
                <c:pt idx="340">
                  <c:v>337.45056918091677</c:v>
                </c:pt>
                <c:pt idx="341">
                  <c:v>339.27653628891471</c:v>
                </c:pt>
                <c:pt idx="342">
                  <c:v>341.10602257460494</c:v>
                </c:pt>
                <c:pt idx="343">
                  <c:v>342.93901646336877</c:v>
                </c:pt>
                <c:pt idx="344">
                  <c:v>344.77550637782707</c:v>
                </c:pt>
                <c:pt idx="345">
                  <c:v>346.61548073790919</c:v>
                </c:pt>
                <c:pt idx="346">
                  <c:v>348.45892796092164</c:v>
                </c:pt>
                <c:pt idx="347">
                  <c:v>350.30583646161665</c:v>
                </c:pt>
                <c:pt idx="348">
                  <c:v>352.15619465226058</c:v>
                </c:pt>
                <c:pt idx="349">
                  <c:v>354.0099909427023</c:v>
                </c:pt>
                <c:pt idx="350">
                  <c:v>355.867213740441</c:v>
                </c:pt>
                <c:pt idx="351">
                  <c:v>357.72785145069423</c:v>
                </c:pt>
                <c:pt idx="352">
                  <c:v>359.59189247646555</c:v>
                </c:pt>
                <c:pt idx="353">
                  <c:v>361.45932521861204</c:v>
                </c:pt>
                <c:pt idx="354">
                  <c:v>363.33013807591158</c:v>
                </c:pt>
                <c:pt idx="355">
                  <c:v>365.20431944513012</c:v>
                </c:pt>
                <c:pt idx="356">
                  <c:v>367.08185772108862</c:v>
                </c:pt>
                <c:pt idx="357">
                  <c:v>368.96274129672975</c:v>
                </c:pt>
                <c:pt idx="358">
                  <c:v>370.84695856318461</c:v>
                </c:pt>
                <c:pt idx="359">
                  <c:v>372.73449790983915</c:v>
                </c:pt>
                <c:pt idx="360">
                  <c:v>374.62534772440029</c:v>
                </c:pt>
                <c:pt idx="361">
                  <c:v>376.51949639296203</c:v>
                </c:pt>
                <c:pt idx="362">
                  <c:v>378.41693230007138</c:v>
                </c:pt>
                <c:pt idx="363">
                  <c:v>380.31764382879396</c:v>
                </c:pt>
                <c:pt idx="364">
                  <c:v>382.22161936077941</c:v>
                </c:pt>
                <c:pt idx="365">
                  <c:v>384.12884727632678</c:v>
                </c:pt>
                <c:pt idx="366">
                  <c:v>386.03931801186673</c:v>
                </c:pt>
                <c:pt idx="367">
                  <c:v>387.95302611756597</c:v>
                </c:pt>
                <c:pt idx="368">
                  <c:v>389.86996819926765</c:v>
                </c:pt>
                <c:pt idx="369">
                  <c:v>391.79014086028548</c:v>
                </c:pt>
                <c:pt idx="370">
                  <c:v>393.71354070142161</c:v>
                </c:pt>
                <c:pt idx="371">
                  <c:v>395.64016432098452</c:v>
                </c:pt>
                <c:pt idx="372">
                  <c:v>397.57000831480684</c:v>
                </c:pt>
                <c:pt idx="373">
                  <c:v>399.5030692762632</c:v>
                </c:pt>
                <c:pt idx="374">
                  <c:v>401.43934379628814</c:v>
                </c:pt>
                <c:pt idx="375">
                  <c:v>403.3788284633938</c:v>
                </c:pt>
                <c:pt idx="376">
                  <c:v>405.32151986368785</c:v>
                </c:pt>
                <c:pt idx="377">
                  <c:v>407.26741458089123</c:v>
                </c:pt>
                <c:pt idx="378">
                  <c:v>409.21650919635601</c:v>
                </c:pt>
                <c:pt idx="379">
                  <c:v>411.16880028908321</c:v>
                </c:pt>
                <c:pt idx="380">
                  <c:v>413.12428443574049</c:v>
                </c:pt>
                <c:pt idx="381">
                  <c:v>415.0829559923427</c:v>
                </c:pt>
                <c:pt idx="382">
                  <c:v>417.04480487585607</c:v>
                </c:pt>
                <c:pt idx="383">
                  <c:v>419.00981878342748</c:v>
                </c:pt>
                <c:pt idx="384">
                  <c:v>420.97798541171511</c:v>
                </c:pt>
                <c:pt idx="385">
                  <c:v>422.94929245695658</c:v>
                </c:pt>
                <c:pt idx="386">
                  <c:v>424.92372761503646</c:v>
                </c:pt>
                <c:pt idx="387">
                  <c:v>426.90127858155398</c:v>
                </c:pt>
                <c:pt idx="388">
                  <c:v>428.88193305189014</c:v>
                </c:pt>
                <c:pt idx="389">
                  <c:v>430.86567872127489</c:v>
                </c:pt>
                <c:pt idx="390">
                  <c:v>432.85250328485381</c:v>
                </c:pt>
                <c:pt idx="391">
                  <c:v>434.84239443775476</c:v>
                </c:pt>
                <c:pt idx="392">
                  <c:v>436.8353398751542</c:v>
                </c:pt>
                <c:pt idx="393">
                  <c:v>438.8313272923433</c:v>
                </c:pt>
                <c:pt idx="394">
                  <c:v>440.83034438479376</c:v>
                </c:pt>
                <c:pt idx="395">
                  <c:v>442.83237884822353</c:v>
                </c:pt>
                <c:pt idx="396">
                  <c:v>444.83741837866211</c:v>
                </c:pt>
                <c:pt idx="397">
                  <c:v>446.84545067251565</c:v>
                </c:pt>
                <c:pt idx="398">
                  <c:v>448.85646342663205</c:v>
                </c:pt>
                <c:pt idx="399">
                  <c:v>450.87044433836542</c:v>
                </c:pt>
                <c:pt idx="400">
                  <c:v>452.8873811056406</c:v>
                </c:pt>
                <c:pt idx="401">
                  <c:v>454.90725968822932</c:v>
                </c:pt>
                <c:pt idx="402">
                  <c:v>456.93006256909257</c:v>
                </c:pt>
                <c:pt idx="403">
                  <c:v>458.95577049414044</c:v>
                </c:pt>
                <c:pt idx="404">
                  <c:v>460.98436421195134</c:v>
                </c:pt>
                <c:pt idx="405">
                  <c:v>463.01582447388915</c:v>
                </c:pt>
                <c:pt idx="406">
                  <c:v>465.05013203421964</c:v>
                </c:pt>
                <c:pt idx="407">
                  <c:v>467.08726765022607</c:v>
                </c:pt>
                <c:pt idx="408">
                  <c:v>469.12721208232455</c:v>
                </c:pt>
                <c:pt idx="409">
                  <c:v>471.16994609417878</c:v>
                </c:pt>
                <c:pt idx="410">
                  <c:v>473.21545045281391</c:v>
                </c:pt>
                <c:pt idx="411">
                  <c:v>475.26369633858195</c:v>
                </c:pt>
                <c:pt idx="412">
                  <c:v>477.31463575605761</c:v>
                </c:pt>
                <c:pt idx="413">
                  <c:v>479.36821113031192</c:v>
                </c:pt>
                <c:pt idx="414">
                  <c:v>481.42436490253147</c:v>
                </c:pt>
                <c:pt idx="415">
                  <c:v>483.48303953068074</c:v>
                </c:pt>
                <c:pt idx="416">
                  <c:v>485.54417749015965</c:v>
                </c:pt>
                <c:pt idx="417">
                  <c:v>487.60772127445665</c:v>
                </c:pt>
                <c:pt idx="418">
                  <c:v>489.67361339579639</c:v>
                </c:pt>
                <c:pt idx="419">
                  <c:v>491.74179638578323</c:v>
                </c:pt>
                <c:pt idx="420">
                  <c:v>493.8122073494377</c:v>
                </c:pt>
                <c:pt idx="421">
                  <c:v>495.88477252045203</c:v>
                </c:pt>
                <c:pt idx="422">
                  <c:v>497.95941271297528</c:v>
                </c:pt>
                <c:pt idx="423">
                  <c:v>500.03604877241941</c:v>
                </c:pt>
                <c:pt idx="424">
                  <c:v>502.11460157657513</c:v>
                </c:pt>
                <c:pt idx="425">
                  <c:v>504.19499203671876</c:v>
                </c:pt>
                <c:pt idx="426">
                  <c:v>506.27714109870954</c:v>
                </c:pt>
                <c:pt idx="427">
                  <c:v>508.36096974407781</c:v>
                </c:pt>
                <c:pt idx="428">
                  <c:v>510.4463989911041</c:v>
                </c:pt>
                <c:pt idx="429">
                  <c:v>512.53334989588848</c:v>
                </c:pt>
                <c:pt idx="430">
                  <c:v>514.62174355341108</c:v>
                </c:pt>
                <c:pt idx="431">
                  <c:v>516.71150109858274</c:v>
                </c:pt>
                <c:pt idx="432">
                  <c:v>518.80253494759711</c:v>
                </c:pt>
                <c:pt idx="433">
                  <c:v>520.89474004312854</c:v>
                </c:pt>
                <c:pt idx="434">
                  <c:v>522.98800262533712</c:v>
                </c:pt>
                <c:pt idx="435">
                  <c:v>525.08220899953869</c:v>
                </c:pt>
                <c:pt idx="436">
                  <c:v>527.17724553826235</c:v>
                </c:pt>
                <c:pt idx="437">
                  <c:v>529.27299868328885</c:v>
                </c:pt>
                <c:pt idx="438">
                  <c:v>531.3693549476684</c:v>
                </c:pt>
                <c:pt idx="439">
                  <c:v>533.46620091771956</c:v>
                </c:pt>
                <c:pt idx="440">
                  <c:v>535.56342325500782</c:v>
                </c:pt>
                <c:pt idx="441">
                  <c:v>537.66090869830407</c:v>
                </c:pt>
                <c:pt idx="442">
                  <c:v>539.75854937853421</c:v>
                </c:pt>
                <c:pt idx="443">
                  <c:v>541.85624813009497</c:v>
                </c:pt>
                <c:pt idx="444">
                  <c:v>543.95391317157726</c:v>
                </c:pt>
                <c:pt idx="445">
                  <c:v>546.05145278975772</c:v>
                </c:pt>
                <c:pt idx="446">
                  <c:v>548.14877534081086</c:v>
                </c:pt>
                <c:pt idx="447">
                  <c:v>550.24578925150854</c:v>
                </c:pt>
                <c:pt idx="448">
                  <c:v>552.34240302040587</c:v>
                </c:pt>
                <c:pt idx="449">
                  <c:v>554.43852521901385</c:v>
                </c:pt>
                <c:pt idx="450">
                  <c:v>556.53406449295949</c:v>
                </c:pt>
                <c:pt idx="451">
                  <c:v>558.62892956313169</c:v>
                </c:pt>
                <c:pt idx="452">
                  <c:v>560.7230292268149</c:v>
                </c:pt>
                <c:pt idx="453">
                  <c:v>562.81627995837891</c:v>
                </c:pt>
                <c:pt idx="454">
                  <c:v>564.90861350330624</c:v>
                </c:pt>
                <c:pt idx="455">
                  <c:v>566.99996926593099</c:v>
                </c:pt>
                <c:pt idx="456">
                  <c:v>569.09028670349437</c:v>
                </c:pt>
                <c:pt idx="457">
                  <c:v>571.17950532657562</c:v>
                </c:pt>
                <c:pt idx="458">
                  <c:v>573.26756469951738</c:v>
                </c:pt>
                <c:pt idx="459">
                  <c:v>575.35440444084577</c:v>
                </c:pt>
                <c:pt idx="460">
                  <c:v>577.43996422368423</c:v>
                </c:pt>
                <c:pt idx="461">
                  <c:v>579.52419061104365</c:v>
                </c:pt>
                <c:pt idx="462">
                  <c:v>581.60704388455167</c:v>
                </c:pt>
                <c:pt idx="463">
                  <c:v>583.68849119682238</c:v>
                </c:pt>
                <c:pt idx="464">
                  <c:v>585.76849973021842</c:v>
                </c:pt>
                <c:pt idx="465">
                  <c:v>587.84703669692669</c:v>
                </c:pt>
                <c:pt idx="466">
                  <c:v>589.9240635989438</c:v>
                </c:pt>
                <c:pt idx="467">
                  <c:v>591.99953049374324</c:v>
                </c:pt>
                <c:pt idx="468">
                  <c:v>594.07331782923995</c:v>
                </c:pt>
                <c:pt idx="469">
                  <c:v>596.14525655520231</c:v>
                </c:pt>
                <c:pt idx="470">
                  <c:v>598.21527030284733</c:v>
                </c:pt>
                <c:pt idx="471">
                  <c:v>600.28336099070248</c:v>
                </c:pt>
                <c:pt idx="472">
                  <c:v>602.34953053304366</c:v>
                </c:pt>
                <c:pt idx="473">
                  <c:v>604.41378083990742</c:v>
                </c:pt>
                <c:pt idx="474">
                  <c:v>606.47611381710271</c:v>
                </c:pt>
                <c:pt idx="475">
                  <c:v>608.53653136622324</c:v>
                </c:pt>
                <c:pt idx="476">
                  <c:v>610.59503538465958</c:v>
                </c:pt>
                <c:pt idx="477">
                  <c:v>612.6516277656109</c:v>
                </c:pt>
                <c:pt idx="478">
                  <c:v>614.70631039809712</c:v>
                </c:pt>
                <c:pt idx="479">
                  <c:v>616.75908516697064</c:v>
                </c:pt>
                <c:pt idx="480">
                  <c:v>618.80995395292825</c:v>
                </c:pt>
                <c:pt idx="481">
                  <c:v>620.858918632523</c:v>
                </c:pt>
                <c:pt idx="482">
                  <c:v>622.90598107817584</c:v>
                </c:pt>
                <c:pt idx="483">
                  <c:v>624.95114315818751</c:v>
                </c:pt>
                <c:pt idx="484">
                  <c:v>626.99440673675008</c:v>
                </c:pt>
                <c:pt idx="485">
                  <c:v>629.03577367395849</c:v>
                </c:pt>
                <c:pt idx="486">
                  <c:v>631.07524582582255</c:v>
                </c:pt>
                <c:pt idx="487">
                  <c:v>633.112825044278</c:v>
                </c:pt>
                <c:pt idx="488">
                  <c:v>635.14851317719831</c:v>
                </c:pt>
                <c:pt idx="489">
                  <c:v>637.18231206840608</c:v>
                </c:pt>
                <c:pt idx="490">
                  <c:v>639.21422355768459</c:v>
                </c:pt>
                <c:pt idx="491">
                  <c:v>641.24424948078899</c:v>
                </c:pt>
                <c:pt idx="492">
                  <c:v>643.27239166945765</c:v>
                </c:pt>
                <c:pt idx="493">
                  <c:v>645.29865195142361</c:v>
                </c:pt>
                <c:pt idx="494">
                  <c:v>647.32303215042589</c:v>
                </c:pt>
                <c:pt idx="495">
                  <c:v>649.34553408622037</c:v>
                </c:pt>
                <c:pt idx="496">
                  <c:v>651.36615957459139</c:v>
                </c:pt>
                <c:pt idx="497">
                  <c:v>653.38491042736268</c:v>
                </c:pt>
                <c:pt idx="498">
                  <c:v>655.40178845240848</c:v>
                </c:pt>
                <c:pt idx="499">
                  <c:v>657.41679545366469</c:v>
                </c:pt>
                <c:pt idx="500">
                  <c:v>659.42993323113956</c:v>
                </c:pt>
                <c:pt idx="501">
                  <c:v>679.45864285105449</c:v>
                </c:pt>
                <c:pt idx="502">
                  <c:v>699.30158929699337</c:v>
                </c:pt>
                <c:pt idx="503">
                  <c:v>718.9605331966626</c:v>
                </c:pt>
                <c:pt idx="504">
                  <c:v>738.43719740646941</c:v>
                </c:pt>
                <c:pt idx="505">
                  <c:v>757.7332680446591</c:v>
                </c:pt>
                <c:pt idx="506">
                  <c:v>776.85039548846339</c:v>
                </c:pt>
                <c:pt idx="507">
                  <c:v>795.79019533675955</c:v>
                </c:pt>
                <c:pt idx="508">
                  <c:v>814.5542493396656</c:v>
                </c:pt>
                <c:pt idx="509">
                  <c:v>833.14410629642953</c:v>
                </c:pt>
                <c:pt idx="510">
                  <c:v>851.56128292290373</c:v>
                </c:pt>
                <c:pt idx="511">
                  <c:v>869.80726468983664</c:v>
                </c:pt>
                <c:pt idx="512">
                  <c:v>887.88350663315282</c:v>
                </c:pt>
                <c:pt idx="513">
                  <c:v>905.79143413734016</c:v>
                </c:pt>
                <c:pt idx="514">
                  <c:v>923.5324436930099</c:v>
                </c:pt>
                <c:pt idx="515">
                  <c:v>941.10790362964497</c:v>
                </c:pt>
                <c:pt idx="516">
                  <c:v>958.51915482450727</c:v>
                </c:pt>
                <c:pt idx="517">
                  <c:v>975.76751138862846</c:v>
                </c:pt>
                <c:pt idx="518">
                  <c:v>992.8542613307684</c:v>
                </c:pt>
                <c:pt idx="519">
                  <c:v>1009.7806672001849</c:v>
                </c:pt>
                <c:pt idx="520">
                  <c:v>1026.5479667090199</c:v>
                </c:pt>
                <c:pt idx="521">
                  <c:v>1043.1573733350735</c:v>
                </c:pt>
                <c:pt idx="522">
                  <c:v>1059.6100769057011</c:v>
                </c:pt>
                <c:pt idx="523">
                  <c:v>1075.9072441635383</c:v>
                </c:pt>
                <c:pt idx="524">
                  <c:v>1092.0500193147252</c:v>
                </c:pt>
                <c:pt idx="525">
                  <c:v>1108.039524560277</c:v>
                </c:pt>
                <c:pt idx="526">
                  <c:v>1123.8768606112135</c:v>
                </c:pt>
                <c:pt idx="527">
                  <c:v>1139.5631071880414</c:v>
                </c:pt>
                <c:pt idx="528">
                  <c:v>1155.0993235051512</c:v>
                </c:pt>
                <c:pt idx="529">
                  <c:v>1170.4865487406726</c:v>
                </c:pt>
                <c:pt idx="530">
                  <c:v>1185.7258024923026</c:v>
                </c:pt>
                <c:pt idx="531">
                  <c:v>1200.8180852196092</c:v>
                </c:pt>
                <c:pt idx="532">
                  <c:v>1215.7643786732806</c:v>
                </c:pt>
                <c:pt idx="533">
                  <c:v>1230.5656463117814</c:v>
                </c:pt>
                <c:pt idx="534">
                  <c:v>1245.2228337058505</c:v>
                </c:pt>
                <c:pt idx="535">
                  <c:v>1259.7368689312618</c:v>
                </c:pt>
                <c:pt idx="536">
                  <c:v>1274.1086629502522</c:v>
                </c:pt>
                <c:pt idx="537">
                  <c:v>1288.3391099820017</c:v>
                </c:pt>
                <c:pt idx="538">
                  <c:v>1302.4290878625372</c:v>
                </c:pt>
                <c:pt idx="539">
                  <c:v>1316.3794583944191</c:v>
                </c:pt>
                <c:pt idx="540">
                  <c:v>1330.19106768655</c:v>
                </c:pt>
                <c:pt idx="541">
                  <c:v>1343.8647464844371</c:v>
                </c:pt>
                <c:pt idx="542">
                  <c:v>1357.4013104912228</c:v>
                </c:pt>
                <c:pt idx="543">
                  <c:v>1370.8015606797901</c:v>
                </c:pt>
                <c:pt idx="544">
                  <c:v>1384.0662835962312</c:v>
                </c:pt>
                <c:pt idx="545">
                  <c:v>1397.1962516549647</c:v>
                </c:pt>
                <c:pt idx="546">
                  <c:v>1410.192223425769</c:v>
                </c:pt>
                <c:pt idx="547">
                  <c:v>1423.0549439129927</c:v>
                </c:pt>
                <c:pt idx="548">
                  <c:v>1435.7851448271922</c:v>
                </c:pt>
                <c:pt idx="549">
                  <c:v>1448.3835448494387</c:v>
                </c:pt>
                <c:pt idx="550">
                  <c:v>1460.8508498885255</c:v>
                </c:pt>
                <c:pt idx="551">
                  <c:v>1473.1877533312982</c:v>
                </c:pt>
                <c:pt idx="552">
                  <c:v>1485.3949362863254</c:v>
                </c:pt>
                <c:pt idx="553">
                  <c:v>1497.4730678211158</c:v>
                </c:pt>
                <c:pt idx="554">
                  <c:v>1509.42280519308</c:v>
                </c:pt>
                <c:pt idx="555">
                  <c:v>1521.2447940744337</c:v>
                </c:pt>
                <c:pt idx="556">
                  <c:v>1532.9396687712235</c:v>
                </c:pt>
                <c:pt idx="557">
                  <c:v>1544.5080524366583</c:v>
                </c:pt>
                <c:pt idx="558">
                  <c:v>1555.9505572789146</c:v>
                </c:pt>
                <c:pt idx="559">
                  <c:v>1567.2677847635878</c:v>
                </c:pt>
                <c:pt idx="560">
                  <c:v>1578.4603258109453</c:v>
                </c:pt>
                <c:pt idx="561">
                  <c:v>1589.5287609881395</c:v>
                </c:pt>
                <c:pt idx="562">
                  <c:v>1600.4736606965303</c:v>
                </c:pt>
                <c:pt idx="563">
                  <c:v>1611.2955853542603</c:v>
                </c:pt>
                <c:pt idx="564">
                  <c:v>1621.9950855742245</c:v>
                </c:pt>
                <c:pt idx="565">
                  <c:v>1632.572702337568</c:v>
                </c:pt>
                <c:pt idx="566">
                  <c:v>1643.0289671628439</c:v>
                </c:pt>
                <c:pt idx="567">
                  <c:v>1653.364402270955</c:v>
                </c:pt>
                <c:pt idx="568">
                  <c:v>1663.5795207460053</c:v>
                </c:pt>
                <c:pt idx="569">
                  <c:v>1673.6748266921752</c:v>
                </c:pt>
                <c:pt idx="570">
                  <c:v>1683.6508153867373</c:v>
                </c:pt>
                <c:pt idx="571">
                  <c:v>1693.5079734293229</c:v>
                </c:pt>
                <c:pt idx="572">
                  <c:v>1703.2467788875456</c:v>
                </c:pt>
                <c:pt idx="573">
                  <c:v>1712.8677014390867</c:v>
                </c:pt>
                <c:pt idx="574">
                  <c:v>1722.3712025103412</c:v>
                </c:pt>
                <c:pt idx="575">
                  <c:v>1731.7577354117245</c:v>
                </c:pt>
                <c:pt idx="576">
                  <c:v>1741.0277454697316</c:v>
                </c:pt>
                <c:pt idx="577">
                  <c:v>1750.1816701558414</c:v>
                </c:pt>
                <c:pt idx="578">
                  <c:v>1759.2199392123559</c:v>
                </c:pt>
                <c:pt idx="579">
                  <c:v>1768.1429747752591</c:v>
                </c:pt>
                <c:pt idx="580">
                  <c:v>1776.9511914941804</c:v>
                </c:pt>
                <c:pt idx="581">
                  <c:v>1785.6449966495445</c:v>
                </c:pt>
                <c:pt idx="582">
                  <c:v>1794.2247902669851</c:v>
                </c:pt>
                <c:pt idx="583">
                  <c:v>1802.6909652291019</c:v>
                </c:pt>
                <c:pt idx="584">
                  <c:v>1811.0439073846348</c:v>
                </c:pt>
                <c:pt idx="585">
                  <c:v>1819.2839956551279</c:v>
                </c:pt>
                <c:pt idx="586">
                  <c:v>1827.4116021391567</c:v>
                </c:pt>
                <c:pt idx="587">
                  <c:v>1835.4270922141861</c:v>
                </c:pt>
                <c:pt idx="588">
                  <c:v>1843.3308246361282</c:v>
                </c:pt>
                <c:pt idx="589">
                  <c:v>1851.1231516366663</c:v>
                </c:pt>
                <c:pt idx="590">
                  <c:v>1858.8044190184105</c:v>
                </c:pt>
                <c:pt idx="591">
                  <c:v>1866.3749662479484</c:v>
                </c:pt>
                <c:pt idx="592">
                  <c:v>1873.8351265468527</c:v>
                </c:pt>
                <c:pt idx="593">
                  <c:v>1881.1852269807093</c:v>
                </c:pt>
                <c:pt idx="594">
                  <c:v>1888.4255885462233</c:v>
                </c:pt>
                <c:pt idx="595">
                  <c:v>1895.5565262564655</c:v>
                </c:pt>
                <c:pt idx="596">
                  <c:v>1902.5783492243158</c:v>
                </c:pt>
                <c:pt idx="597">
                  <c:v>1909.491360744162</c:v>
                </c:pt>
                <c:pt idx="598">
                  <c:v>1916.2958583719114</c:v>
                </c:pt>
                <c:pt idx="599">
                  <c:v>1922.9921340033732</c:v>
                </c:pt>
                <c:pt idx="600">
                  <c:v>1929.580473951065</c:v>
                </c:pt>
                <c:pt idx="601">
                  <c:v>1936.0611590195028</c:v>
                </c:pt>
                <c:pt idx="602">
                  <c:v>1942.4344645790288</c:v>
                </c:pt>
                <c:pt idx="603">
                  <c:v>1948.700660638232</c:v>
                </c:pt>
                <c:pt idx="604">
                  <c:v>1954.8600119150187</c:v>
                </c:pt>
                <c:pt idx="605">
                  <c:v>1960.9127779063892</c:v>
                </c:pt>
                <c:pt idx="606">
                  <c:v>1966.8592129569754</c:v>
                </c:pt>
                <c:pt idx="607">
                  <c:v>1972.6995663263981</c:v>
                </c:pt>
                <c:pt idx="608">
                  <c:v>1978.4340822554989</c:v>
                </c:pt>
                <c:pt idx="609">
                  <c:v>1984.063000031507</c:v>
                </c:pt>
                <c:pt idx="610">
                  <c:v>1989.5865540521991</c:v>
                </c:pt>
                <c:pt idx="611">
                  <c:v>1995.0049738891107</c:v>
                </c:pt>
                <c:pt idx="612">
                  <c:v>2000.3184843498634</c:v>
                </c:pt>
                <c:pt idx="613">
                  <c:v>2005.527305539666</c:v>
                </c:pt>
                <c:pt idx="614">
                  <c:v>2010.6316529220587</c:v>
                </c:pt>
                <c:pt idx="615">
                  <c:v>2015.6317373789605</c:v>
                </c:pt>
                <c:pt idx="616">
                  <c:v>2020.5277652700927</c:v>
                </c:pt>
                <c:pt idx="617">
                  <c:v>2025.3199384918439</c:v>
                </c:pt>
                <c:pt idx="618">
                  <c:v>2030.0084545356508</c:v>
                </c:pt>
                <c:pt idx="619">
                  <c:v>2034.5935065459676</c:v>
                </c:pt>
                <c:pt idx="620">
                  <c:v>2039.0752833779029</c:v>
                </c:pt>
                <c:pt idx="621">
                  <c:v>2043.4539696546028</c:v>
                </c:pt>
                <c:pt idx="622">
                  <c:v>2047.7297458244623</c:v>
                </c:pt>
                <c:pt idx="623">
                  <c:v>2051.9027882182522</c:v>
                </c:pt>
                <c:pt idx="624">
                  <c:v>2055.9732691062527</c:v>
                </c:pt>
                <c:pt idx="625">
                  <c:v>2059.9413567554825</c:v>
                </c:pt>
                <c:pt idx="626">
                  <c:v>2063.8072154871247</c:v>
                </c:pt>
                <c:pt idx="627">
                  <c:v>2067.5710057342499</c:v>
                </c:pt>
                <c:pt idx="628">
                  <c:v>2071.2328840999371</c:v>
                </c:pt>
                <c:pt idx="629">
                  <c:v>2074.7930034159081</c:v>
                </c:pt>
                <c:pt idx="630">
                  <c:v>2078.2515128017835</c:v>
                </c:pt>
                <c:pt idx="631">
                  <c:v>2081.6085577250801</c:v>
                </c:pt>
                <c:pt idx="632">
                  <c:v>2084.8642800620705</c:v>
                </c:pt>
                <c:pt idx="633">
                  <c:v>2088.0188181596327</c:v>
                </c:pt>
                <c:pt idx="634">
                  <c:v>2091.0723068982138</c:v>
                </c:pt>
                <c:pt idx="635">
                  <c:v>2094.0248777560496</c:v>
                </c:pt>
                <c:pt idx="636">
                  <c:v>2096.8766588747658</c:v>
                </c:pt>
                <c:pt idx="637">
                  <c:v>2099.6277751265097</c:v>
                </c:pt>
                <c:pt idx="638">
                  <c:v>2102.2783481827464</c:v>
                </c:pt>
                <c:pt idx="639">
                  <c:v>2104.8284965848666</c:v>
                </c:pt>
                <c:pt idx="640">
                  <c:v>2107.2783358167435</c:v>
                </c:pt>
                <c:pt idx="641">
                  <c:v>2109.6279783793884</c:v>
                </c:pt>
                <c:pt idx="642">
                  <c:v>2111.8775338678374</c:v>
                </c:pt>
                <c:pt idx="643">
                  <c:v>2114.0271090504102</c:v>
                </c:pt>
                <c:pt idx="644">
                  <c:v>2116.0768079504733</c:v>
                </c:pt>
                <c:pt idx="645">
                  <c:v>2118.0267319308314</c:v>
                </c:pt>
                <c:pt idx="646">
                  <c:v>2119.8769797808623</c:v>
                </c:pt>
                <c:pt idx="647">
                  <c:v>2121.6276478065024</c:v>
                </c:pt>
                <c:pt idx="648">
                  <c:v>2123.2788299231752</c:v>
                </c:pt>
                <c:pt idx="649">
                  <c:v>2124.830617751737</c:v>
                </c:pt>
                <c:pt idx="650">
                  <c:v>2126.2831007175014</c:v>
                </c:pt>
                <c:pt idx="651">
                  <c:v>2127.6363661523783</c:v>
                </c:pt>
                <c:pt idx="652">
                  <c:v>2128.8904994001441</c:v>
                </c:pt>
                <c:pt idx="653">
                  <c:v>2130.0455839248311</c:v>
                </c:pt>
                <c:pt idx="654">
                  <c:v>2131.1017014221975</c:v>
                </c:pt>
                <c:pt idx="655">
                  <c:v>2132.0589319342125</c:v>
                </c:pt>
                <c:pt idx="656">
                  <c:v>2132.917353966458</c:v>
                </c:pt>
                <c:pt idx="657">
                  <c:v>2133.677044608311</c:v>
                </c:pt>
                <c:pt idx="658">
                  <c:v>2134.3380796557508</c:v>
                </c:pt>
                <c:pt idx="659">
                  <c:v>2134.9005337365847</c:v>
                </c:pt>
                <c:pt idx="660">
                  <c:v>2135.3644804378696</c:v>
                </c:pt>
                <c:pt idx="661">
                  <c:v>2135.7299924352651</c:v>
                </c:pt>
                <c:pt idx="662">
                  <c:v>2135.9971416240282</c:v>
                </c:pt>
                <c:pt idx="663">
                  <c:v>2136.1659992513328</c:v>
                </c:pt>
                <c:pt idx="664">
                  <c:v>2136.2366360495694</c:v>
                </c:pt>
                <c:pt idx="665">
                  <c:v>2136.2091223702701</c:v>
                </c:pt>
                <c:pt idx="666">
                  <c:v>2136.0835283182769</c:v>
                </c:pt>
                <c:pt idx="667">
                  <c:v>2135.8599238857687</c:v>
                </c:pt>
                <c:pt idx="668">
                  <c:v>2135.5383790857531</c:v>
                </c:pt>
                <c:pt idx="669">
                  <c:v>2135.1189640846324</c:v>
                </c:pt>
                <c:pt idx="670">
                  <c:v>2134.6017493334512</c:v>
                </c:pt>
                <c:pt idx="671">
                  <c:v>2133.9868056974533</c:v>
                </c:pt>
                <c:pt idx="672">
                  <c:v>2133.2742045835776</c:v>
                </c:pt>
                <c:pt idx="673">
                  <c:v>2132.4640180655551</c:v>
                </c:pt>
                <c:pt idx="674">
                  <c:v>2131.5563190062835</c:v>
                </c:pt>
                <c:pt idx="675">
                  <c:v>2130.5511811771839</c:v>
                </c:pt>
                <c:pt idx="676">
                  <c:v>2129.4486793742785</c:v>
                </c:pt>
                <c:pt idx="677">
                  <c:v>2128.2488895307497</c:v>
                </c:pt>
                <c:pt idx="678">
                  <c:v>2126.9518888257858</c:v>
                </c:pt>
                <c:pt idx="679">
                  <c:v>2125.5577557895413</c:v>
                </c:pt>
                <c:pt idx="680">
                  <c:v>2124.0665704040748</c:v>
                </c:pt>
                <c:pt idx="681">
                  <c:v>2122.4784142001672</c:v>
                </c:pt>
                <c:pt idx="682">
                  <c:v>2120.7933703499452</c:v>
                </c:pt>
                <c:pt idx="683">
                  <c:v>2119.0115237552668</c:v>
                </c:pt>
                <c:pt idx="684">
                  <c:v>2117.1329611318588</c:v>
                </c:pt>
                <c:pt idx="685">
                  <c:v>2115.1577710892143</c:v>
                </c:pt>
                <c:pt idx="686">
                  <c:v>2113.0860442062867</c:v>
                </c:pt>
                <c:pt idx="687">
                  <c:v>2110.9178731030338</c:v>
                </c:pt>
                <c:pt idx="688">
                  <c:v>2108.6533525078858</c:v>
                </c:pt>
                <c:pt idx="689">
                  <c:v>2106.2925793212257</c:v>
                </c:pt>
                <c:pt idx="690">
                  <c:v>2103.8356526749849</c:v>
                </c:pt>
                <c:pt idx="691">
                  <c:v>2101.2826739884617</c:v>
                </c:pt>
                <c:pt idx="692">
                  <c:v>2098.6337470204894</c:v>
                </c:pt>
                <c:pt idx="693">
                  <c:v>2095.8889779180786</c:v>
                </c:pt>
                <c:pt idx="694">
                  <c:v>2093.0484752616621</c:v>
                </c:pt>
                <c:pt idx="695">
                  <c:v>2090.1123501070833</c:v>
                </c:pt>
                <c:pt idx="696">
                  <c:v>2087.080716024459</c:v>
                </c:pt>
                <c:pt idx="697">
                  <c:v>2083.9536891340535</c:v>
                </c:pt>
                <c:pt idx="698">
                  <c:v>2080.7313881393034</c:v>
                </c:pt>
                <c:pt idx="699">
                  <c:v>2077.4139343571187</c:v>
                </c:pt>
                <c:pt idx="700">
                  <c:v>2074.001451745597</c:v>
                </c:pt>
                <c:pt idx="701">
                  <c:v>2070.4940669292755</c:v>
                </c:pt>
                <c:pt idx="702">
                  <c:v>2066.891909222044</c:v>
                </c:pt>
                <c:pt idx="703">
                  <c:v>2063.1951106478364</c:v>
                </c:pt>
                <c:pt idx="704">
                  <c:v>2059.4038059592199</c:v>
                </c:pt>
                <c:pt idx="705">
                  <c:v>2055.5181326539832</c:v>
                </c:pt>
                <c:pt idx="706">
                  <c:v>2051.5382309898391</c:v>
                </c:pt>
                <c:pt idx="707">
                  <c:v>2047.4642439973306</c:v>
                </c:pt>
                <c:pt idx="708">
                  <c:v>2043.2963174910437</c:v>
                </c:pt>
                <c:pt idx="709">
                  <c:v>2039.0346000792129</c:v>
                </c:pt>
                <c:pt idx="710">
                  <c:v>2034.6792431718043</c:v>
                </c:pt>
                <c:pt idx="711">
                  <c:v>2030.2304009871609</c:v>
                </c:pt>
                <c:pt idx="712">
                  <c:v>2025.6882305572806</c:v>
                </c:pt>
                <c:pt idx="713">
                  <c:v>2021.0528917318036</c:v>
                </c:pt>
                <c:pt idx="714">
                  <c:v>2016.3245471807734</c:v>
                </c:pt>
                <c:pt idx="715">
                  <c:v>2011.5033623962379</c:v>
                </c:pt>
                <c:pt idx="716">
                  <c:v>2006.5895056927475</c:v>
                </c:pt>
                <c:pt idx="717">
                  <c:v>2001.5831482068077</c:v>
                </c:pt>
                <c:pt idx="718">
                  <c:v>1996.48446389534</c:v>
                </c:pt>
                <c:pt idx="719">
                  <c:v>1991.2936295331983</c:v>
                </c:pt>
                <c:pt idx="720">
                  <c:v>1986.0108247097892</c:v>
                </c:pt>
                <c:pt idx="721">
                  <c:v>1980.6362318248375</c:v>
                </c:pt>
                <c:pt idx="722">
                  <c:v>1975.1700360833408</c:v>
                </c:pt>
                <c:pt idx="723">
                  <c:v>1969.6124254897481</c:v>
                </c:pt>
                <c:pt idx="724">
                  <c:v>1963.9635908414004</c:v>
                </c:pt>
                <c:pt idx="725">
                  <c:v>1958.2237257212664</c:v>
                </c:pt>
                <c:pt idx="726">
                  <c:v>1952.3930264900041</c:v>
                </c:pt>
                <c:pt idx="727">
                  <c:v>1946.4716922773789</c:v>
                </c:pt>
                <c:pt idx="728">
                  <c:v>1940.459924973065</c:v>
                </c:pt>
                <c:pt idx="729">
                  <c:v>1934.3579292168567</c:v>
                </c:pt>
                <c:pt idx="730">
                  <c:v>1928.1659123883139</c:v>
                </c:pt>
                <c:pt idx="731">
                  <c:v>1921.8840845958644</c:v>
                </c:pt>
                <c:pt idx="732">
                  <c:v>1915.5126586653844</c:v>
                </c:pt>
                <c:pt idx="733">
                  <c:v>1909.0518501282788</c:v>
                </c:pt>
                <c:pt idx="734">
                  <c:v>1902.5018772090787</c:v>
                </c:pt>
                <c:pt idx="735">
                  <c:v>1895.8629608125741</c:v>
                </c:pt>
                <c:pt idx="736">
                  <c:v>1889.1353245105011</c:v>
                </c:pt>
                <c:pt idx="737">
                  <c:v>1882.3191945277956</c:v>
                </c:pt>
                <c:pt idx="738">
                  <c:v>1875.4147997284324</c:v>
                </c:pt>
                <c:pt idx="739">
                  <c:v>1868.422371600861</c:v>
                </c:pt>
                <c:pt idx="740">
                  <c:v>1861.3421442430538</c:v>
                </c:pt>
                <c:pt idx="741">
                  <c:v>1854.1743543471778</c:v>
                </c:pt>
                <c:pt idx="742">
                  <c:v>1846.9192411839019</c:v>
                </c:pt>
                <c:pt idx="743">
                  <c:v>1839.5770465863532</c:v>
                </c:pt>
                <c:pt idx="744">
                  <c:v>1832.1480149337299</c:v>
                </c:pt>
                <c:pt idx="745">
                  <c:v>1824.6323931345846</c:v>
                </c:pt>
                <c:pt idx="746">
                  <c:v>1817.0304306097853</c:v>
                </c:pt>
                <c:pt idx="747">
                  <c:v>1809.3423792751639</c:v>
                </c:pt>
                <c:pt idx="748">
                  <c:v>1801.5684935238633</c:v>
                </c:pt>
                <c:pt idx="749">
                  <c:v>1793.7090302083875</c:v>
                </c:pt>
                <c:pt idx="750">
                  <c:v>1785.7642486223674</c:v>
                </c:pt>
                <c:pt idx="751">
                  <c:v>1777.7344104820468</c:v>
                </c:pt>
                <c:pt idx="752">
                  <c:v>1769.6197799074978</c:v>
                </c:pt>
                <c:pt idx="753">
                  <c:v>1761.4206234035723</c:v>
                </c:pt>
                <c:pt idx="754">
                  <c:v>1753.1372098405966</c:v>
                </c:pt>
                <c:pt idx="755">
                  <c:v>1744.7698104348156</c:v>
                </c:pt>
                <c:pt idx="756">
                  <c:v>1736.3186987285935</c:v>
                </c:pt>
                <c:pt idx="757">
                  <c:v>1727.7841505703771</c:v>
                </c:pt>
                <c:pt idx="758">
                  <c:v>1719.1664440944273</c:v>
                </c:pt>
                <c:pt idx="759">
                  <c:v>1710.4658597003252</c:v>
                </c:pt>
                <c:pt idx="760">
                  <c:v>1701.6826800322578</c:v>
                </c:pt>
                <c:pt idx="761">
                  <c:v>1692.8171899580907</c:v>
                </c:pt>
                <c:pt idx="762">
                  <c:v>1683.8696765482298</c:v>
                </c:pt>
                <c:pt idx="763">
                  <c:v>1674.8404290542805</c:v>
                </c:pt>
                <c:pt idx="764">
                  <c:v>1665.7297388875081</c:v>
                </c:pt>
                <c:pt idx="765">
                  <c:v>1656.5378995971037</c:v>
                </c:pt>
                <c:pt idx="766">
                  <c:v>1647.2652068482616</c:v>
                </c:pt>
                <c:pt idx="767">
                  <c:v>1637.9119584000739</c:v>
                </c:pt>
                <c:pt idx="768">
                  <c:v>1628.4784540832427</c:v>
                </c:pt>
                <c:pt idx="769">
                  <c:v>1618.964995777621</c:v>
                </c:pt>
                <c:pt idx="770">
                  <c:v>1609.3718873895803</c:v>
                </c:pt>
                <c:pt idx="771">
                  <c:v>1599.6994348292144</c:v>
                </c:pt>
                <c:pt idx="772">
                  <c:v>1589.9479459873805</c:v>
                </c:pt>
                <c:pt idx="773">
                  <c:v>1580.1177307125838</c:v>
                </c:pt>
                <c:pt idx="774">
                  <c:v>1570.2091007877079</c:v>
                </c:pt>
                <c:pt idx="775">
                  <c:v>1560.2223699065983</c:v>
                </c:pt>
                <c:pt idx="776">
                  <c:v>1550.1578536504992</c:v>
                </c:pt>
                <c:pt idx="777">
                  <c:v>1540.0158694643524</c:v>
                </c:pt>
                <c:pt idx="778">
                  <c:v>1529.796736632956</c:v>
                </c:pt>
                <c:pt idx="779">
                  <c:v>1519.5007762569944</c:v>
                </c:pt>
                <c:pt idx="780">
                  <c:v>1509.1283112289368</c:v>
                </c:pt>
                <c:pt idx="781">
                  <c:v>1498.6796662088132</c:v>
                </c:pt>
                <c:pt idx="782">
                  <c:v>1488.1551675998685</c:v>
                </c:pt>
                <c:pt idx="783">
                  <c:v>1477.5551435241</c:v>
                </c:pt>
                <c:pt idx="784">
                  <c:v>1466.8799237976827</c:v>
                </c:pt>
                <c:pt idx="785">
                  <c:v>1456.1298399062841</c:v>
                </c:pt>
                <c:pt idx="786">
                  <c:v>1445.3052249802752</c:v>
                </c:pt>
                <c:pt idx="787">
                  <c:v>1434.4064137698385</c:v>
                </c:pt>
                <c:pt idx="788">
                  <c:v>1423.4337426199797</c:v>
                </c:pt>
                <c:pt idx="789">
                  <c:v>1412.3875494454444</c:v>
                </c:pt>
                <c:pt idx="790">
                  <c:v>1401.2681737055448</c:v>
                </c:pt>
                <c:pt idx="791">
                  <c:v>1390.0759563788993</c:v>
                </c:pt>
                <c:pt idx="792">
                  <c:v>1378.8112399380907</c:v>
                </c:pt>
                <c:pt idx="793">
                  <c:v>1367.4743683242432</c:v>
                </c:pt>
                <c:pt idx="794">
                  <c:v>1356.0656869215259</c:v>
                </c:pt>
                <c:pt idx="795">
                  <c:v>1344.5855425315829</c:v>
                </c:pt>
                <c:pt idx="796">
                  <c:v>1333.0342833478956</c:v>
                </c:pt>
                <c:pt idx="797">
                  <c:v>1321.412258930081</c:v>
                </c:pt>
                <c:pt idx="798">
                  <c:v>1309.7198201781287</c:v>
                </c:pt>
                <c:pt idx="799">
                  <c:v>1297.9573193065803</c:v>
                </c:pt>
                <c:pt idx="800">
                  <c:v>1286.1251098186556</c:v>
                </c:pt>
                <c:pt idx="801">
                  <c:v>1274.2235464803284</c:v>
                </c:pt>
                <c:pt idx="802">
                  <c:v>1262.2529852943558</c:v>
                </c:pt>
                <c:pt idx="803">
                  <c:v>1250.2137834742646</c:v>
                </c:pt>
                <c:pt idx="804">
                  <c:v>1238.1062994182987</c:v>
                </c:pt>
                <c:pt idx="805">
                  <c:v>1225.9308926833301</c:v>
                </c:pt>
                <c:pt idx="806">
                  <c:v>1213.6879239587377</c:v>
                </c:pt>
                <c:pt idx="807">
                  <c:v>1201.3777550402583</c:v>
                </c:pt>
                <c:pt idx="808">
                  <c:v>1189.0007488038113</c:v>
                </c:pt>
                <c:pt idx="809">
                  <c:v>1176.5572691793031</c:v>
                </c:pt>
                <c:pt idx="810">
                  <c:v>1164.0476811244114</c:v>
                </c:pt>
                <c:pt idx="811">
                  <c:v>1151.4723505983573</c:v>
                </c:pt>
                <c:pt idx="812">
                  <c:v>1138.8316445356643</c:v>
                </c:pt>
                <c:pt idx="813">
                  <c:v>1126.1259308199114</c:v>
                </c:pt>
                <c:pt idx="814">
                  <c:v>1113.3555782574808</c:v>
                </c:pt>
                <c:pt idx="815">
                  <c:v>1100.5209565513053</c:v>
                </c:pt>
                <c:pt idx="816">
                  <c:v>1087.6224362746191</c:v>
                </c:pt>
                <c:pt idx="817">
                  <c:v>1074.6603888447139</c:v>
                </c:pt>
                <c:pt idx="818">
                  <c:v>1061.635186496706</c:v>
                </c:pt>
                <c:pt idx="819">
                  <c:v>1048.5472022573153</c:v>
                </c:pt>
                <c:pt idx="820">
                  <c:v>1035.3968099186616</c:v>
                </c:pt>
                <c:pt idx="821">
                  <c:v>1022.1843840120802</c:v>
                </c:pt>
                <c:pt idx="822">
                  <c:v>1008.910299781962</c:v>
                </c:pt>
                <c:pt idx="823">
                  <c:v>995.57493315961904</c:v>
                </c:pt>
                <c:pt idx="824">
                  <c:v>982.17866073718119</c:v>
                </c:pt>
                <c:pt idx="825">
                  <c:v>968.72185974152512</c:v>
                </c:pt>
                <c:pt idx="826">
                  <c:v>955.20490800824132</c:v>
                </c:pt>
                <c:pt idx="827">
                  <c:v>941.62818395564022</c:v>
                </c:pt>
                <c:pt idx="828">
                  <c:v>927.99206655880221</c:v>
                </c:pt>
                <c:pt idx="829">
                  <c:v>914.29693532367412</c:v>
                </c:pt>
                <c:pt idx="830">
                  <c:v>900.54317026121544</c:v>
                </c:pt>
                <c:pt idx="831">
                  <c:v>886.73115186159839</c:v>
                </c:pt>
                <c:pt idx="832">
                  <c:v>872.86126106846348</c:v>
                </c:pt>
                <c:pt idx="833">
                  <c:v>858.93387925323543</c:v>
                </c:pt>
                <c:pt idx="834">
                  <c:v>844.94938818950152</c:v>
                </c:pt>
                <c:pt idx="835">
                  <c:v>830.90817002745587</c:v>
                </c:pt>
                <c:pt idx="836">
                  <c:v>816.81060726841315</c:v>
                </c:pt>
                <c:pt idx="837">
                  <c:v>802.65708273939424</c:v>
                </c:pt>
                <c:pt idx="838">
                  <c:v>788.44797956778746</c:v>
                </c:pt>
                <c:pt idx="839">
                  <c:v>774.18368115608791</c:v>
                </c:pt>
                <c:pt idx="840">
                  <c:v>759.86457115671885</c:v>
                </c:pt>
                <c:pt idx="841">
                  <c:v>745.49103344693719</c:v>
                </c:pt>
                <c:pt idx="842">
                  <c:v>731.06345210382653</c:v>
                </c:pt>
                <c:pt idx="843">
                  <c:v>716.58221137938096</c:v>
                </c:pt>
                <c:pt idx="844">
                  <c:v>702.04769567568235</c:v>
                </c:pt>
                <c:pt idx="845">
                  <c:v>687.46028952017366</c:v>
                </c:pt>
                <c:pt idx="846">
                  <c:v>672.82037754103237</c:v>
                </c:pt>
                <c:pt idx="847">
                  <c:v>658.12834444264524</c:v>
                </c:pt>
                <c:pt idx="848">
                  <c:v>643.38457498118896</c:v>
                </c:pt>
                <c:pt idx="849">
                  <c:v>628.58945394031798</c:v>
                </c:pt>
                <c:pt idx="850">
                  <c:v>613.74336610696378</c:v>
                </c:pt>
                <c:pt idx="851">
                  <c:v>598.846696247247</c:v>
                </c:pt>
                <c:pt idx="852">
                  <c:v>583.89982908250613</c:v>
                </c:pt>
                <c:pt idx="853">
                  <c:v>568.90314926544488</c:v>
                </c:pt>
                <c:pt idx="854">
                  <c:v>553.85704135640151</c:v>
                </c:pt>
                <c:pt idx="855">
                  <c:v>538.76188979974188</c:v>
                </c:pt>
                <c:pt idx="856">
                  <c:v>523.61807890037994</c:v>
                </c:pt>
                <c:pt idx="857">
                  <c:v>508.4259928004272</c:v>
                </c:pt>
                <c:pt idx="858">
                  <c:v>493.18601545597426</c:v>
                </c:pt>
                <c:pt idx="859">
                  <c:v>477.89853061400703</c:v>
                </c:pt>
                <c:pt idx="860">
                  <c:v>462.56392178945981</c:v>
                </c:pt>
                <c:pt idx="861">
                  <c:v>447.18257224240773</c:v>
                </c:pt>
                <c:pt idx="862">
                  <c:v>431.75486495540105</c:v>
                </c:pt>
                <c:pt idx="863">
                  <c:v>416.28118261094374</c:v>
                </c:pt>
                <c:pt idx="864">
                  <c:v>400.76190756911842</c:v>
                </c:pt>
                <c:pt idx="865">
                  <c:v>385.1974218453604</c:v>
                </c:pt>
                <c:pt idx="866">
                  <c:v>369.58810708838257</c:v>
                </c:pt>
                <c:pt idx="867">
                  <c:v>353.93434455825383</c:v>
                </c:pt>
                <c:pt idx="868">
                  <c:v>338.23651510463282</c:v>
                </c:pt>
                <c:pt idx="869">
                  <c:v>322.49499914515951</c:v>
                </c:pt>
                <c:pt idx="870">
                  <c:v>306.71017664400654</c:v>
                </c:pt>
                <c:pt idx="871">
                  <c:v>290.88242709059233</c:v>
                </c:pt>
                <c:pt idx="872">
                  <c:v>275.01212947845835</c:v>
                </c:pt>
                <c:pt idx="873">
                  <c:v>259.09966228431176</c:v>
                </c:pt>
                <c:pt idx="874">
                  <c:v>243.14540344723656</c:v>
                </c:pt>
                <c:pt idx="875">
                  <c:v>227.149730348074</c:v>
                </c:pt>
                <c:pt idx="876">
                  <c:v>211.11301978897484</c:v>
                </c:pt>
                <c:pt idx="877">
                  <c:v>195.03564797312512</c:v>
                </c:pt>
                <c:pt idx="878">
                  <c:v>178.91799048464708</c:v>
                </c:pt>
                <c:pt idx="879">
                  <c:v>162.76042226867722</c:v>
                </c:pt>
                <c:pt idx="880">
                  <c:v>146.56331761162301</c:v>
                </c:pt>
                <c:pt idx="881">
                  <c:v>130.32705012160008</c:v>
                </c:pt>
                <c:pt idx="882">
                  <c:v>114.05199270905139</c:v>
                </c:pt>
                <c:pt idx="883">
                  <c:v>97.738517567550076</c:v>
                </c:pt>
                <c:pt idx="884">
                  <c:v>81.386996154787397</c:v>
                </c:pt>
                <c:pt idx="885">
                  <c:v>64.997799173747396</c:v>
                </c:pt>
                <c:pt idx="886">
                  <c:v>48.571296554069662</c:v>
                </c:pt>
                <c:pt idx="887">
                  <c:v>32.107857433601637</c:v>
                </c:pt>
                <c:pt idx="888">
                  <c:v>15.607850140141867</c:v>
                </c:pt>
                <c:pt idx="889">
                  <c:v>-0.92835782662458399</c:v>
                </c:pt>
                <c:pt idx="890">
                  <c:v>-0.94491206098317293</c:v>
                </c:pt>
                <c:pt idx="891">
                  <c:v>-0.96146633099248613</c:v>
                </c:pt>
                <c:pt idx="892">
                  <c:v>-0.97802063665215921</c:v>
                </c:pt>
                <c:pt idx="893">
                  <c:v>-0.9945749779618277</c:v>
                </c:pt>
                <c:pt idx="894">
                  <c:v>-1.0111293549211271</c:v>
                </c:pt>
                <c:pt idx="895">
                  <c:v>-1.027683767529693</c:v>
                </c:pt>
                <c:pt idx="896">
                  <c:v>-1.044238215787161</c:v>
                </c:pt>
                <c:pt idx="897">
                  <c:v>-1.0607926996931669</c:v>
                </c:pt>
                <c:pt idx="898">
                  <c:v>-1.0773472192473461</c:v>
                </c:pt>
                <c:pt idx="899">
                  <c:v>-1.093901774449334</c:v>
                </c:pt>
                <c:pt idx="900">
                  <c:v>-1.1104563652987665</c:v>
                </c:pt>
                <c:pt idx="901">
                  <c:v>-1.1270109917952789</c:v>
                </c:pt>
                <c:pt idx="902">
                  <c:v>-1.1435656539385068</c:v>
                </c:pt>
                <c:pt idx="903">
                  <c:v>-1.160120351728086</c:v>
                </c:pt>
                <c:pt idx="904">
                  <c:v>-1.176675085163652</c:v>
                </c:pt>
                <c:pt idx="905">
                  <c:v>-1.1932298542448403</c:v>
                </c:pt>
                <c:pt idx="906">
                  <c:v>-1.2097846589712864</c:v>
                </c:pt>
                <c:pt idx="907">
                  <c:v>-1.2263394993426262</c:v>
                </c:pt>
                <c:pt idx="908">
                  <c:v>-1.2428943753584951</c:v>
                </c:pt>
                <c:pt idx="909">
                  <c:v>-1.2594492870185285</c:v>
                </c:pt>
                <c:pt idx="910">
                  <c:v>-1.2760042343223623</c:v>
                </c:pt>
                <c:pt idx="911">
                  <c:v>-1.2925592172696319</c:v>
                </c:pt>
                <c:pt idx="912">
                  <c:v>-1.309114235859973</c:v>
                </c:pt>
                <c:pt idx="913">
                  <c:v>-1.3256692900930211</c:v>
                </c:pt>
                <c:pt idx="914">
                  <c:v>-1.3422243799684119</c:v>
                </c:pt>
                <c:pt idx="915">
                  <c:v>-1.358779505485781</c:v>
                </c:pt>
                <c:pt idx="916">
                  <c:v>-1.3753346666447637</c:v>
                </c:pt>
                <c:pt idx="917">
                  <c:v>-1.3918898634449959</c:v>
                </c:pt>
                <c:pt idx="918">
                  <c:v>-1.408445095886113</c:v>
                </c:pt>
                <c:pt idx="919">
                  <c:v>-1.4250003639677509</c:v>
                </c:pt>
                <c:pt idx="920">
                  <c:v>-1.4415556676895449</c:v>
                </c:pt>
                <c:pt idx="921">
                  <c:v>-1.4581110070511307</c:v>
                </c:pt>
                <c:pt idx="922">
                  <c:v>-1.474666382052144</c:v>
                </c:pt>
                <c:pt idx="923">
                  <c:v>-1.4912217926922202</c:v>
                </c:pt>
                <c:pt idx="924">
                  <c:v>-1.5077772389709949</c:v>
                </c:pt>
                <c:pt idx="925">
                  <c:v>-1.5243327208881039</c:v>
                </c:pt>
                <c:pt idx="926">
                  <c:v>-1.5408882384431826</c:v>
                </c:pt>
                <c:pt idx="927">
                  <c:v>-1.5574437916358668</c:v>
                </c:pt>
                <c:pt idx="928">
                  <c:v>-1.5739993804657919</c:v>
                </c:pt>
                <c:pt idx="929">
                  <c:v>-1.5905550049325936</c:v>
                </c:pt>
                <c:pt idx="930">
                  <c:v>-1.6071106650359075</c:v>
                </c:pt>
                <c:pt idx="931">
                  <c:v>-1.6236663607753692</c:v>
                </c:pt>
                <c:pt idx="932">
                  <c:v>-1.6402220921506143</c:v>
                </c:pt>
                <c:pt idx="933">
                  <c:v>-1.6567778591612785</c:v>
                </c:pt>
                <c:pt idx="934">
                  <c:v>-1.6733336618069974</c:v>
                </c:pt>
                <c:pt idx="935">
                  <c:v>-1.6898895000874066</c:v>
                </c:pt>
                <c:pt idx="936">
                  <c:v>-1.7064453740021415</c:v>
                </c:pt>
                <c:pt idx="937">
                  <c:v>-1.7230012835508379</c:v>
                </c:pt>
                <c:pt idx="938">
                  <c:v>-1.7395572287331313</c:v>
                </c:pt>
                <c:pt idx="939">
                  <c:v>-1.7561132095486576</c:v>
                </c:pt>
                <c:pt idx="940">
                  <c:v>-1.772669225997052</c:v>
                </c:pt>
                <c:pt idx="941">
                  <c:v>-1.7892252780779505</c:v>
                </c:pt>
                <c:pt idx="942">
                  <c:v>-1.8057813657909885</c:v>
                </c:pt>
                <c:pt idx="943">
                  <c:v>-1.8223374891358015</c:v>
                </c:pt>
                <c:pt idx="944">
                  <c:v>-1.8388936481120255</c:v>
                </c:pt>
                <c:pt idx="945">
                  <c:v>-1.8554498427192958</c:v>
                </c:pt>
                <c:pt idx="946">
                  <c:v>-1.8720060729572481</c:v>
                </c:pt>
                <c:pt idx="947">
                  <c:v>-1.8885623388255179</c:v>
                </c:pt>
                <c:pt idx="948">
                  <c:v>-1.905118640323741</c:v>
                </c:pt>
                <c:pt idx="949">
                  <c:v>-1.9216749774515529</c:v>
                </c:pt>
                <c:pt idx="950">
                  <c:v>-1.9382313502085895</c:v>
                </c:pt>
                <c:pt idx="951">
                  <c:v>-1.9547877585944862</c:v>
                </c:pt>
                <c:pt idx="952">
                  <c:v>-1.9713442026088785</c:v>
                </c:pt>
                <c:pt idx="953">
                  <c:v>-1.9879006822514023</c:v>
                </c:pt>
                <c:pt idx="954">
                  <c:v>-2.0044571975216932</c:v>
                </c:pt>
                <c:pt idx="955">
                  <c:v>-2.0210137484193864</c:v>
                </c:pt>
                <c:pt idx="956">
                  <c:v>-2.0375703349441179</c:v>
                </c:pt>
                <c:pt idx="957">
                  <c:v>-2.0541269570955234</c:v>
                </c:pt>
                <c:pt idx="958">
                  <c:v>-2.0706836148732384</c:v>
                </c:pt>
                <c:pt idx="959">
                  <c:v>-2.0872403082768982</c:v>
                </c:pt>
                <c:pt idx="960">
                  <c:v>-2.1037970373061392</c:v>
                </c:pt>
                <c:pt idx="961">
                  <c:v>-2.1203538019605963</c:v>
                </c:pt>
                <c:pt idx="962">
                  <c:v>-2.1369106022399054</c:v>
                </c:pt>
                <c:pt idx="963">
                  <c:v>-2.1534674381437022</c:v>
                </c:pt>
                <c:pt idx="964">
                  <c:v>-2.1700243096716223</c:v>
                </c:pt>
                <c:pt idx="965">
                  <c:v>-2.1865812168233014</c:v>
                </c:pt>
                <c:pt idx="966">
                  <c:v>-2.203138159598375</c:v>
                </c:pt>
                <c:pt idx="967">
                  <c:v>-2.2196951379964789</c:v>
                </c:pt>
                <c:pt idx="968">
                  <c:v>-2.2362521520172485</c:v>
                </c:pt>
                <c:pt idx="969">
                  <c:v>-2.2528092016603196</c:v>
                </c:pt>
                <c:pt idx="970">
                  <c:v>-2.2693662869253277</c:v>
                </c:pt>
                <c:pt idx="971">
                  <c:v>-2.2859234078119086</c:v>
                </c:pt>
                <c:pt idx="972">
                  <c:v>-2.3024805643196982</c:v>
                </c:pt>
                <c:pt idx="973">
                  <c:v>-2.3190377564483318</c:v>
                </c:pt>
                <c:pt idx="974">
                  <c:v>-2.3355949841974448</c:v>
                </c:pt>
                <c:pt idx="975">
                  <c:v>-2.3521522475666732</c:v>
                </c:pt>
                <c:pt idx="976">
                  <c:v>-2.3687095465556527</c:v>
                </c:pt>
                <c:pt idx="977">
                  <c:v>-2.3852668811640187</c:v>
                </c:pt>
                <c:pt idx="978">
                  <c:v>-2.4018242513914072</c:v>
                </c:pt>
                <c:pt idx="979">
                  <c:v>-2.4183816572374535</c:v>
                </c:pt>
                <c:pt idx="980">
                  <c:v>-2.4349390987017934</c:v>
                </c:pt>
                <c:pt idx="981">
                  <c:v>-2.4514965757840623</c:v>
                </c:pt>
                <c:pt idx="982">
                  <c:v>-2.4680540884838962</c:v>
                </c:pt>
                <c:pt idx="983">
                  <c:v>-2.4846116368009308</c:v>
                </c:pt>
                <c:pt idx="984">
                  <c:v>-2.5011692207348015</c:v>
                </c:pt>
                <c:pt idx="985">
                  <c:v>-2.5177268402851438</c:v>
                </c:pt>
                <c:pt idx="986">
                  <c:v>-2.534284495451594</c:v>
                </c:pt>
                <c:pt idx="987">
                  <c:v>-2.5508421862337869</c:v>
                </c:pt>
                <c:pt idx="988">
                  <c:v>-2.5673999126313589</c:v>
                </c:pt>
                <c:pt idx="989">
                  <c:v>-2.583957674643945</c:v>
                </c:pt>
                <c:pt idx="990">
                  <c:v>-2.6005154722711814</c:v>
                </c:pt>
                <c:pt idx="991">
                  <c:v>-2.6170733055127036</c:v>
                </c:pt>
                <c:pt idx="992">
                  <c:v>-2.6336311743681473</c:v>
                </c:pt>
                <c:pt idx="993">
                  <c:v>-2.650189078837148</c:v>
                </c:pt>
                <c:pt idx="994">
                  <c:v>-2.6667470189193416</c:v>
                </c:pt>
                <c:pt idx="995">
                  <c:v>-2.6833049946143634</c:v>
                </c:pt>
                <c:pt idx="996">
                  <c:v>-2.6998630059218494</c:v>
                </c:pt>
                <c:pt idx="997">
                  <c:v>-2.7164210528414348</c:v>
                </c:pt>
                <c:pt idx="998">
                  <c:v>-2.7329791353727555</c:v>
                </c:pt>
                <c:pt idx="999">
                  <c:v>-2.7495372535154474</c:v>
                </c:pt>
                <c:pt idx="1000">
                  <c:v>-2.7660954072691459</c:v>
                </c:pt>
              </c:numCache>
            </c:numRef>
          </c:yVal>
          <c:smooth val="1"/>
          <c:extLst>
            <c:ext xmlns:c16="http://schemas.microsoft.com/office/drawing/2014/chart" uri="{C3380CC4-5D6E-409C-BE32-E72D297353CC}">
              <c16:uniqueId val="{00000002-3E62-4C97-96C4-8569A9DB8ECB}"/>
            </c:ext>
          </c:extLst>
        </c:ser>
        <c:ser>
          <c:idx val="4"/>
          <c:order val="3"/>
          <c:tx>
            <c:strRef>
              <c:f>Trajecto!$B$109</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Trajecto!$B$140:$B$146</c:f>
              <c:numCache>
                <c:formatCode>0</c:formatCode>
                <c:ptCount val="7"/>
                <c:pt idx="0">
                  <c:v>0</c:v>
                </c:pt>
                <c:pt idx="1">
                  <c:v>0</c:v>
                </c:pt>
                <c:pt idx="2">
                  <c:v>0</c:v>
                </c:pt>
                <c:pt idx="3">
                  <c:v>0</c:v>
                </c:pt>
                <c:pt idx="4">
                  <c:v>0</c:v>
                </c:pt>
                <c:pt idx="5">
                  <c:v>0</c:v>
                </c:pt>
                <c:pt idx="6">
                  <c:v>0</c:v>
                </c:pt>
              </c:numCache>
            </c:numRef>
          </c:xVal>
          <c:yVal>
            <c:numRef>
              <c:f>Trajecto!$C$138:$C$144</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3E62-4C97-96C4-8569A9DB8ECB}"/>
            </c:ext>
          </c:extLst>
        </c:ser>
        <c:ser>
          <c:idx val="5"/>
          <c:order val="4"/>
          <c:tx>
            <c:strRef>
              <c:f>Trajecto!$B$106</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0</c:v>
                </c:pt>
                <c:pt idx="1">
                  <c:v>4.6635792022015819E-5</c:v>
                </c:pt>
                <c:pt idx="2">
                  <c:v>3.3053071122203872E-4</c:v>
                </c:pt>
                <c:pt idx="3">
                  <c:v>1.05542840233453E-3</c:v>
                </c:pt>
                <c:pt idx="4">
                  <c:v>2.3408774114336492E-3</c:v>
                </c:pt>
                <c:pt idx="5">
                  <c:v>4.30650497443269E-3</c:v>
                </c:pt>
                <c:pt idx="6">
                  <c:v>7.0720289912428996E-3</c:v>
                </c:pt>
                <c:pt idx="7">
                  <c:v>1.0757269933738345E-2</c:v>
                </c:pt>
                <c:pt idx="8">
                  <c:v>1.5482162691208855E-2</c:v>
                </c:pt>
                <c:pt idx="9">
                  <c:v>2.1366768356910766E-2</c:v>
                </c:pt>
                <c:pt idx="10">
                  <c:v>2.8531285959255831E-2</c:v>
                </c:pt>
                <c:pt idx="11">
                  <c:v>3.7061692603555962E-2</c:v>
                </c:pt>
                <c:pt idx="12">
                  <c:v>4.697531747071082E-2</c:v>
                </c:pt>
                <c:pt idx="13">
                  <c:v>5.8254860481949264E-2</c:v>
                </c:pt>
                <c:pt idx="14">
                  <c:v>7.0882471003096081E-2</c:v>
                </c:pt>
                <c:pt idx="15">
                  <c:v>8.4840009270433614E-2</c:v>
                </c:pt>
                <c:pt idx="16">
                  <c:v>0.10010930828076549</c:v>
                </c:pt>
                <c:pt idx="17">
                  <c:v>0.11667217421698536</c:v>
                </c:pt>
                <c:pt idx="18">
                  <c:v>0.13451038687331207</c:v>
                </c:pt>
                <c:pt idx="19">
                  <c:v>0.15360570008014851</c:v>
                </c:pt>
                <c:pt idx="20">
                  <c:v>0.17393984212852193</c:v>
                </c:pt>
                <c:pt idx="21">
                  <c:v>0.19549451619406341</c:v>
                </c:pt>
                <c:pt idx="22">
                  <c:v>0.21825140076048477</c:v>
                </c:pt>
                <c:pt idx="23">
                  <c:v>0.24219215004251099</c:v>
                </c:pt>
                <c:pt idx="24">
                  <c:v>0.26729839440822711</c:v>
                </c:pt>
                <c:pt idx="25">
                  <c:v>0.29355174080079821</c:v>
                </c:pt>
                <c:pt idx="26">
                  <c:v>0.3209337731595216</c:v>
                </c:pt>
                <c:pt idx="27">
                  <c:v>0.34943066512699317</c:v>
                </c:pt>
                <c:pt idx="28">
                  <c:v>0.37903779914555835</c:v>
                </c:pt>
                <c:pt idx="29">
                  <c:v>0.40975516387531019</c:v>
                </c:pt>
                <c:pt idx="30">
                  <c:v>0.44158274501109435</c:v>
                </c:pt>
                <c:pt idx="31">
                  <c:v>0.47452052527982014</c:v>
                </c:pt>
                <c:pt idx="32">
                  <c:v>0.50856848443781055</c:v>
                </c:pt>
                <c:pt idx="33">
                  <c:v>0.54372659926819134</c:v>
                </c:pt>
                <c:pt idx="34">
                  <c:v>0.5799948435783191</c:v>
                </c:pt>
                <c:pt idx="35">
                  <c:v>0.61737318819724873</c:v>
                </c:pt>
                <c:pt idx="36">
                  <c:v>0.6558616009732402</c:v>
                </c:pt>
                <c:pt idx="37">
                  <c:v>0.6954600467713048</c:v>
                </c:pt>
                <c:pt idx="38">
                  <c:v>0.7362523988749804</c:v>
                </c:pt>
                <c:pt idx="39">
                  <c:v>0.77832508994766991</c:v>
                </c:pt>
                <c:pt idx="40">
                  <c:v>0.82168317698969062</c:v>
                </c:pt>
                <c:pt idx="41">
                  <c:v>0.86633163485555842</c:v>
                </c:pt>
                <c:pt idx="42">
                  <c:v>0.9122753269102627</c:v>
                </c:pt>
                <c:pt idx="43">
                  <c:v>0.95951900992857087</c:v>
                </c:pt>
                <c:pt idx="44">
                  <c:v>1.0080673386582437</c:v>
                </c:pt>
                <c:pt idx="45">
                  <c:v>1.0579248700775132</c:v>
                </c:pt>
                <c:pt idx="46">
                  <c:v>1.109096067373802</c:v>
                </c:pt>
                <c:pt idx="47">
                  <c:v>1.1615853036677335</c:v>
                </c:pt>
                <c:pt idx="48">
                  <c:v>1.2153968655039262</c:v>
                </c:pt>
                <c:pt idx="49">
                  <c:v>1.2705349561278296</c:v>
                </c:pt>
                <c:pt idx="50">
                  <c:v>1.3270036985659022</c:v>
                </c:pt>
                <c:pt idx="51">
                  <c:v>1.3848071385247041</c:v>
                </c:pt>
                <c:pt idx="52">
                  <c:v>1.443949247122958</c:v>
                </c:pt>
                <c:pt idx="53">
                  <c:v>1.5044339234692841</c:v>
                </c:pt>
                <c:pt idx="54">
                  <c:v>1.5662649970971225</c:v>
                </c:pt>
                <c:pt idx="55">
                  <c:v>1.6294462302672985</c:v>
                </c:pt>
                <c:pt idx="56">
                  <c:v>1.6939813201477345</c:v>
                </c:pt>
                <c:pt idx="57">
                  <c:v>1.7598739008789757</c:v>
                </c:pt>
                <c:pt idx="58">
                  <c:v>1.8271275455334377</c:v>
                </c:pt>
                <c:pt idx="59">
                  <c:v>1.8957457679756073</c:v>
                </c:pt>
                <c:pt idx="60">
                  <c:v>1.9657320246298193</c:v>
                </c:pt>
                <c:pt idx="61">
                  <c:v>2.037089716161685</c:v>
                </c:pt>
                <c:pt idx="62">
                  <c:v>2.1098221890787556</c:v>
                </c:pt>
                <c:pt idx="63">
                  <c:v>2.1839327372555513</c:v>
                </c:pt>
                <c:pt idx="64">
                  <c:v>2.2594246033876915</c:v>
                </c:pt>
                <c:pt idx="65">
                  <c:v>2.3363009803794887</c:v>
                </c:pt>
                <c:pt idx="66">
                  <c:v>2.4145650126690357</c:v>
                </c:pt>
                <c:pt idx="67">
                  <c:v>2.4942197974945213</c:v>
                </c:pt>
                <c:pt idx="68">
                  <c:v>2.5752683861052228</c:v>
                </c:pt>
                <c:pt idx="69">
                  <c:v>2.65771378492038</c:v>
                </c:pt>
                <c:pt idx="70">
                  <c:v>2.7415589566389245</c:v>
                </c:pt>
                <c:pt idx="71">
                  <c:v>2.8268068213028248</c:v>
                </c:pt>
                <c:pt idx="72">
                  <c:v>2.9134601992840219</c:v>
                </c:pt>
                <c:pt idx="73">
                  <c:v>3.0015217537881251</c:v>
                </c:pt>
                <c:pt idx="74">
                  <c:v>3.0909940492400687</c:v>
                </c:pt>
                <c:pt idx="75">
                  <c:v>3.1818796100866491</c:v>
                </c:pt>
                <c:pt idx="76">
                  <c:v>3.2741809216869906</c:v>
                </c:pt>
                <c:pt idx="77">
                  <c:v>3.3679004311686729</c:v>
                </c:pt>
                <c:pt idx="78">
                  <c:v>3.4630405482512807</c:v>
                </c:pt>
                <c:pt idx="79">
                  <c:v>3.5596036460390277</c:v>
                </c:pt>
                <c:pt idx="80">
                  <c:v>3.6575920617840025</c:v>
                </c:pt>
                <c:pt idx="81">
                  <c:v>3.7570080976214895</c:v>
                </c:pt>
                <c:pt idx="82">
                  <c:v>3.857854021278722</c:v>
                </c:pt>
                <c:pt idx="83">
                  <c:v>3.9601320667583542</c:v>
                </c:pt>
                <c:pt idx="84">
                  <c:v>4.0638444349978506</c:v>
                </c:pt>
                <c:pt idx="85">
                  <c:v>4.1689932945059294</c:v>
                </c:pt>
                <c:pt idx="86">
                  <c:v>4.275580781977121</c:v>
                </c:pt>
                <c:pt idx="87">
                  <c:v>4.3836090028854535</c:v>
                </c:pt>
                <c:pt idx="88">
                  <c:v>4.4930800320582076</c:v>
                </c:pt>
                <c:pt idx="89">
                  <c:v>4.6039959142306364</c:v>
                </c:pt>
                <c:pt idx="90">
                  <c:v>4.716358664582498</c:v>
                </c:pt>
                <c:pt idx="91">
                  <c:v>4.8301702692571951</c:v>
                </c:pt>
                <c:pt idx="92">
                  <c:v>4.9454326858642768</c:v>
                </c:pt>
                <c:pt idx="93">
                  <c:v>5.0621478439660219</c:v>
                </c:pt>
                <c:pt idx="94">
                  <c:v>5.1803176455487714</c:v>
                </c:pt>
                <c:pt idx="95">
                  <c:v>5.2999439654796587</c:v>
                </c:pt>
                <c:pt idx="96">
                  <c:v>5.4210286519493405</c:v>
                </c:pt>
                <c:pt idx="97">
                  <c:v>5.5435735269013042</c:v>
                </c:pt>
                <c:pt idx="98">
                  <c:v>5.667580386448301</c:v>
                </c:pt>
                <c:pt idx="99">
                  <c:v>5.7930510012764227</c:v>
                </c:pt>
                <c:pt idx="100">
                  <c:v>5.9199871170373131</c:v>
                </c:pt>
                <c:pt idx="101">
                  <c:v>6.0483904547289855</c:v>
                </c:pt>
                <c:pt idx="102">
                  <c:v>6.17826271106569</c:v>
                </c:pt>
                <c:pt idx="103">
                  <c:v>6.3096055588372586</c:v>
                </c:pt>
                <c:pt idx="104">
                  <c:v>6.4424206472583272</c:v>
                </c:pt>
                <c:pt idx="105">
                  <c:v>6.5767096023078224</c:v>
                </c:pt>
                <c:pt idx="106">
                  <c:v>6.7124740270590779</c:v>
                </c:pt>
                <c:pt idx="107">
                  <c:v>6.8497155020009313</c:v>
                </c:pt>
                <c:pt idx="108">
                  <c:v>6.9884355853501319</c:v>
                </c:pt>
                <c:pt idx="109">
                  <c:v>7.1286358133553858</c:v>
                </c:pt>
                <c:pt idx="110">
                  <c:v>7.2703177005933304</c:v>
                </c:pt>
                <c:pt idx="111">
                  <c:v>7.4134827402567351</c:v>
                </c:pt>
                <c:pt idx="112">
                  <c:v>7.5581324044352076</c:v>
                </c:pt>
                <c:pt idx="113">
                  <c:v>7.7042681443886654</c:v>
                </c:pt>
                <c:pt idx="114">
                  <c:v>7.8518913908138286</c:v>
                </c:pt>
                <c:pt idx="115">
                  <c:v>8.0010035541039777</c:v>
                </c:pt>
                <c:pt idx="116">
                  <c:v>8.1516060246022004</c:v>
                </c:pt>
                <c:pt idx="117">
                  <c:v>8.3037001728483713</c:v>
                </c:pt>
                <c:pt idx="118">
                  <c:v>8.4572873498200405</c:v>
                </c:pt>
                <c:pt idx="119">
                  <c:v>8.6123688871674791</c:v>
                </c:pt>
                <c:pt idx="120">
                  <c:v>8.7689460974430382</c:v>
                </c:pt>
                <c:pt idx="121">
                  <c:v>8.9270202743250326</c:v>
                </c:pt>
                <c:pt idx="122">
                  <c:v>9.086592692836323</c:v>
                </c:pt>
                <c:pt idx="123">
                  <c:v>9.2476646095577628</c:v>
                </c:pt>
                <c:pt idx="124">
                  <c:v>9.4102372628366862</c:v>
                </c:pt>
                <c:pt idx="125">
                  <c:v>9.5743118729905881</c:v>
                </c:pt>
                <c:pt idx="126">
                  <c:v>9.7398896425061476</c:v>
                </c:pt>
                <c:pt idx="127">
                  <c:v>9.9069717562337569</c:v>
                </c:pt>
                <c:pt idx="128">
                  <c:v>10.075559381577673</c:v>
                </c:pt>
                <c:pt idx="129">
                  <c:v>10.245653377123844</c:v>
                </c:pt>
                <c:pt idx="130">
                  <c:v>10.417253999907683</c:v>
                </c:pt>
                <c:pt idx="131">
                  <c:v>10.590361195354962</c:v>
                </c:pt>
                <c:pt idx="132">
                  <c:v>10.764974888597203</c:v>
                </c:pt>
                <c:pt idx="133">
                  <c:v>10.941094984686238</c:v>
                </c:pt>
                <c:pt idx="134">
                  <c:v>11.118721368804243</c:v>
                </c:pt>
                <c:pt idx="135">
                  <c:v>11.297853906469397</c:v>
                </c:pt>
                <c:pt idx="136">
                  <c:v>11.478492443737302</c:v>
                </c:pt>
                <c:pt idx="137">
                  <c:v>11.660636807398268</c:v>
                </c:pt>
                <c:pt idx="138">
                  <c:v>11.844286805170629</c:v>
                </c:pt>
                <c:pt idx="139">
                  <c:v>12.029442225890179</c:v>
                </c:pt>
                <c:pt idx="140">
                  <c:v>12.216102839695848</c:v>
                </c:pt>
                <c:pt idx="141">
                  <c:v>12.404268398211752</c:v>
                </c:pt>
                <c:pt idx="142">
                  <c:v>12.593938634725689</c:v>
                </c:pt>
                <c:pt idx="143">
                  <c:v>12.785113264364222</c:v>
                </c:pt>
                <c:pt idx="144">
                  <c:v>12.977791984264417</c:v>
                </c:pt>
                <c:pt idx="145">
                  <c:v>13.171974473742351</c:v>
                </c:pt>
                <c:pt idx="146">
                  <c:v>13.367660394458476</c:v>
                </c:pt>
                <c:pt idx="147">
                  <c:v>13.564849390579933</c:v>
                </c:pt>
                <c:pt idx="148">
                  <c:v>13.763541088939904</c:v>
                </c:pt>
                <c:pt idx="149">
                  <c:v>13.963735099194066</c:v>
                </c:pt>
                <c:pt idx="150">
                  <c:v>14.165431013974258</c:v>
                </c:pt>
                <c:pt idx="151">
                  <c:v>14.36862840903942</c:v>
                </c:pt>
                <c:pt idx="152">
                  <c:v>14.573326843423876</c:v>
                </c:pt>
                <c:pt idx="153">
                  <c:v>14.77952585958305</c:v>
                </c:pt>
                <c:pt idx="154">
                  <c:v>14.987224983536667</c:v>
                </c:pt>
                <c:pt idx="155">
                  <c:v>15.196423725009518</c:v>
                </c:pt>
                <c:pt idx="156">
                  <c:v>15.40712157756986</c:v>
                </c:pt>
                <c:pt idx="157">
                  <c:v>15.61931801876549</c:v>
                </c:pt>
                <c:pt idx="158">
                  <c:v>15.833012510257582</c:v>
                </c:pt>
                <c:pt idx="159">
                  <c:v>16.048204497952334</c:v>
                </c:pt>
                <c:pt idx="160">
                  <c:v>16.264893412130473</c:v>
                </c:pt>
                <c:pt idx="161">
                  <c:v>16.483078667574702</c:v>
                </c:pt>
                <c:pt idx="162">
                  <c:v>16.702759663695108</c:v>
                </c:pt>
                <c:pt idx="163">
                  <c:v>16.923935784652603</c:v>
                </c:pt>
                <c:pt idx="164">
                  <c:v>17.146606399480451</c:v>
                </c:pt>
                <c:pt idx="165">
                  <c:v>17.370770862203909</c:v>
                </c:pt>
                <c:pt idx="166">
                  <c:v>17.596428511958067</c:v>
                </c:pt>
                <c:pt idx="167">
                  <c:v>17.823578673103885</c:v>
                </c:pt>
                <c:pt idx="168">
                  <c:v>18.052220655342516</c:v>
                </c:pt>
                <c:pt idx="169">
                  <c:v>18.282353753827923</c:v>
                </c:pt>
                <c:pt idx="170">
                  <c:v>18.51397724927785</c:v>
                </c:pt>
                <c:pt idx="171">
                  <c:v>18.747090408083199</c:v>
                </c:pt>
                <c:pt idx="172">
                  <c:v>18.981692482415806</c:v>
                </c:pt>
                <c:pt idx="173">
                  <c:v>19.217782710334721</c:v>
                </c:pt>
                <c:pt idx="174">
                  <c:v>19.455360315890967</c:v>
                </c:pt>
                <c:pt idx="175">
                  <c:v>19.694424509230856</c:v>
                </c:pt>
                <c:pt idx="176">
                  <c:v>19.934974486697868</c:v>
                </c:pt>
                <c:pt idx="177">
                  <c:v>20.17700943093315</c:v>
                </c:pt>
                <c:pt idx="178">
                  <c:v>20.420528510974652</c:v>
                </c:pt>
                <c:pt idx="179">
                  <c:v>20.665530882354936</c:v>
                </c:pt>
                <c:pt idx="180">
                  <c:v>20.912015687197698</c:v>
                </c:pt>
                <c:pt idx="181">
                  <c:v>21.159982054313009</c:v>
                </c:pt>
                <c:pt idx="182">
                  <c:v>21.409429099291344</c:v>
                </c:pt>
                <c:pt idx="183">
                  <c:v>21.660355924596377</c:v>
                </c:pt>
                <c:pt idx="184">
                  <c:v>21.912761619656617</c:v>
                </c:pt>
                <c:pt idx="185">
                  <c:v>22.166645260955875</c:v>
                </c:pt>
                <c:pt idx="186">
                  <c:v>22.422005912122611</c:v>
                </c:pt>
                <c:pt idx="187">
                  <c:v>22.678842624018191</c:v>
                </c:pt>
                <c:pt idx="188">
                  <c:v>22.937154434824038</c:v>
                </c:pt>
                <c:pt idx="189">
                  <c:v>23.196940370127749</c:v>
                </c:pt>
                <c:pt idx="190">
                  <c:v>23.45819944300818</c:v>
                </c:pt>
                <c:pt idx="191">
                  <c:v>23.720930654119524</c:v>
                </c:pt>
                <c:pt idx="192">
                  <c:v>23.985132991774393</c:v>
                </c:pt>
                <c:pt idx="193">
                  <c:v>24.250805432025942</c:v>
                </c:pt>
                <c:pt idx="194">
                  <c:v>24.517946938749056</c:v>
                </c:pt>
                <c:pt idx="195">
                  <c:v>24.786556463720594</c:v>
                </c:pt>
                <c:pt idx="196">
                  <c:v>25.056632946698752</c:v>
                </c:pt>
                <c:pt idx="197">
                  <c:v>25.328175315501529</c:v>
                </c:pt>
                <c:pt idx="198">
                  <c:v>25.601182486084326</c:v>
                </c:pt>
                <c:pt idx="199">
                  <c:v>25.875653362616696</c:v>
                </c:pt>
                <c:pt idx="200">
                  <c:v>26.151586837558277</c:v>
                </c:pt>
                <c:pt idx="201">
                  <c:v>26.428981791733893</c:v>
                </c:pt>
                <c:pt idx="202">
                  <c:v>26.707837094407875</c:v>
                </c:pt>
                <c:pt idx="203">
                  <c:v>26.988151603357586</c:v>
                </c:pt>
                <c:pt idx="204">
                  <c:v>27.269924164946207</c:v>
                </c:pt>
                <c:pt idx="205">
                  <c:v>27.553153614194741</c:v>
                </c:pt>
                <c:pt idx="206">
                  <c:v>27.837838698769371</c:v>
                </c:pt>
                <c:pt idx="207">
                  <c:v>28.123978002734201</c:v>
                </c:pt>
                <c:pt idx="208">
                  <c:v>28.411570022405996</c:v>
                </c:pt>
                <c:pt idx="209">
                  <c:v>28.700613242445176</c:v>
                </c:pt>
                <c:pt idx="210">
                  <c:v>28.991106135930448</c:v>
                </c:pt>
                <c:pt idx="211">
                  <c:v>29.28304716443273</c:v>
                </c:pt>
                <c:pt idx="212">
                  <c:v>29.576434778088363</c:v>
                </c:pt>
                <c:pt idx="213">
                  <c:v>29.871267415671614</c:v>
                </c:pt>
                <c:pt idx="214">
                  <c:v>30.167543504666519</c:v>
                </c:pt>
                <c:pt idx="215">
                  <c:v>30.465261461338041</c:v>
                </c:pt>
                <c:pt idx="216">
                  <c:v>30.764419690802587</c:v>
                </c:pt>
                <c:pt idx="217">
                  <c:v>31.065016587097869</c:v>
                </c:pt>
                <c:pt idx="218">
                  <c:v>31.367050533252147</c:v>
                </c:pt>
                <c:pt idx="219">
                  <c:v>31.670519901352847</c:v>
                </c:pt>
                <c:pt idx="220">
                  <c:v>31.975423052614573</c:v>
                </c:pt>
                <c:pt idx="221">
                  <c:v>32.281758337446526</c:v>
                </c:pt>
                <c:pt idx="222">
                  <c:v>32.58952409551933</c:v>
                </c:pt>
                <c:pt idx="223">
                  <c:v>32.898718655831303</c:v>
                </c:pt>
                <c:pt idx="224">
                  <c:v>33.209340336774133</c:v>
                </c:pt>
                <c:pt idx="225">
                  <c:v>33.521387446198041</c:v>
                </c:pt>
                <c:pt idx="226">
                  <c:v>33.834858281476365</c:v>
                </c:pt>
                <c:pt idx="227">
                  <c:v>34.14975112956963</c:v>
                </c:pt>
                <c:pt idx="228">
                  <c:v>34.466064267089088</c:v>
                </c:pt>
                <c:pt idx="229">
                  <c:v>34.783795960359747</c:v>
                </c:pt>
                <c:pt idx="230">
                  <c:v>35.102944465482885</c:v>
                </c:pt>
                <c:pt idx="231">
                  <c:v>35.423508028398082</c:v>
                </c:pt>
                <c:pt idx="232">
                  <c:v>35.745484884944759</c:v>
                </c:pt>
                <c:pt idx="233">
                  <c:v>36.068873260923212</c:v>
                </c:pt>
                <c:pt idx="234">
                  <c:v>36.393671372155225</c:v>
                </c:pt>
                <c:pt idx="235">
                  <c:v>36.719877424544158</c:v>
                </c:pt>
                <c:pt idx="236">
                  <c:v>37.047489614134648</c:v>
                </c:pt>
                <c:pt idx="237">
                  <c:v>37.376506127171794</c:v>
                </c:pt>
                <c:pt idx="238">
                  <c:v>37.706925140159946</c:v>
                </c:pt>
                <c:pt idx="239">
                  <c:v>38.038744819921043</c:v>
                </c:pt>
                <c:pt idx="240">
                  <c:v>38.371963323652537</c:v>
                </c:pt>
                <c:pt idx="241">
                  <c:v>38.706578798984879</c:v>
                </c:pt>
                <c:pt idx="242">
                  <c:v>39.042589114652827</c:v>
                </c:pt>
                <c:pt idx="243">
                  <c:v>39.379991590459852</c:v>
                </c:pt>
                <c:pt idx="244">
                  <c:v>39.71878326584104</c:v>
                </c:pt>
                <c:pt idx="245">
                  <c:v>40.058961169141604</c:v>
                </c:pt>
                <c:pt idx="246">
                  <c:v>40.400522317691262</c:v>
                </c:pt>
                <c:pt idx="247">
                  <c:v>40.743463717878129</c:v>
                </c:pt>
                <c:pt idx="248">
                  <c:v>41.08778236522204</c:v>
                </c:pt>
                <c:pt idx="249">
                  <c:v>41.433475244447386</c:v>
                </c:pt>
                <c:pt idx="250">
                  <c:v>41.780539329555424</c:v>
                </c:pt>
                <c:pt idx="251">
                  <c:v>42.128971583896096</c:v>
                </c:pt>
                <c:pt idx="252">
                  <c:v>42.478768960239357</c:v>
                </c:pt>
                <c:pt idx="253">
                  <c:v>42.829928400846015</c:v>
                </c:pt>
                <c:pt idx="254">
                  <c:v>43.182446837538095</c:v>
                </c:pt>
                <c:pt idx="255">
                  <c:v>43.536321191768707</c:v>
                </c:pt>
                <c:pt idx="256">
                  <c:v>43.891548374691496</c:v>
                </c:pt>
                <c:pt idx="257">
                  <c:v>44.248125287229577</c:v>
                </c:pt>
                <c:pt idx="258">
                  <c:v>44.606048820144061</c:v>
                </c:pt>
                <c:pt idx="259">
                  <c:v>44.965315854102116</c:v>
                </c:pt>
                <c:pt idx="260">
                  <c:v>45.325923259744592</c:v>
                </c:pt>
                <c:pt idx="261">
                  <c:v>45.687867897753208</c:v>
                </c:pt>
                <c:pt idx="262">
                  <c:v>46.051146618917315</c:v>
                </c:pt>
                <c:pt idx="263">
                  <c:v>46.415756264200219</c:v>
                </c:pt>
                <c:pt idx="264">
                  <c:v>46.781693664805111</c:v>
                </c:pt>
                <c:pt idx="265">
                  <c:v>47.14895564224058</c:v>
                </c:pt>
                <c:pt idx="266">
                  <c:v>47.517539008385704</c:v>
                </c:pt>
                <c:pt idx="267">
                  <c:v>47.887440565554741</c:v>
                </c:pt>
                <c:pt idx="268">
                  <c:v>48.258657106561436</c:v>
                </c:pt>
                <c:pt idx="269">
                  <c:v>48.631185414782934</c:v>
                </c:pt>
                <c:pt idx="270">
                  <c:v>49.005022264223285</c:v>
                </c:pt>
                <c:pt idx="271">
                  <c:v>49.380164419576609</c:v>
                </c:pt>
                <c:pt idx="272">
                  <c:v>49.756608636289819</c:v>
                </c:pt>
                <c:pt idx="273">
                  <c:v>50.134351660625036</c:v>
                </c:pt>
                <c:pt idx="274">
                  <c:v>50.513390229721594</c:v>
                </c:pt>
                <c:pt idx="275">
                  <c:v>50.893721071657687</c:v>
                </c:pt>
                <c:pt idx="276">
                  <c:v>51.275340905511662</c:v>
                </c:pt>
                <c:pt idx="277">
                  <c:v>51.658246441422953</c:v>
                </c:pt>
                <c:pt idx="278">
                  <c:v>52.042434380652665</c:v>
                </c:pt>
                <c:pt idx="279">
                  <c:v>52.427901415643795</c:v>
                </c:pt>
                <c:pt idx="280">
                  <c:v>52.814644230081115</c:v>
                </c:pt>
                <c:pt idx="281">
                  <c:v>53.202659498950716</c:v>
                </c:pt>
                <c:pt idx="282">
                  <c:v>53.591943888599218</c:v>
                </c:pt>
                <c:pt idx="283">
                  <c:v>53.982494056792639</c:v>
                </c:pt>
                <c:pt idx="284">
                  <c:v>54.37430697680378</c:v>
                </c:pt>
                <c:pt idx="285">
                  <c:v>54.767380262203957</c:v>
                </c:pt>
                <c:pt idx="286">
                  <c:v>55.161711843730941</c:v>
                </c:pt>
                <c:pt idx="287">
                  <c:v>55.557299645442669</c:v>
                </c:pt>
                <c:pt idx="288">
                  <c:v>55.954141584755973</c:v>
                </c:pt>
                <c:pt idx="289">
                  <c:v>56.352235572485142</c:v>
                </c:pt>
                <c:pt idx="290">
                  <c:v>56.751579512880276</c:v>
                </c:pt>
                <c:pt idx="291">
                  <c:v>57.152171303665476</c:v>
                </c:pt>
                <c:pt idx="292">
                  <c:v>57.554008836076818</c:v>
                </c:pt>
                <c:pt idx="293">
                  <c:v>57.957089994900187</c:v>
                </c:pt>
                <c:pt idx="294">
                  <c:v>58.361412658508911</c:v>
                </c:pt>
                <c:pt idx="295">
                  <c:v>58.766974698901194</c:v>
                </c:pt>
                <c:pt idx="296">
                  <c:v>59.173773981737419</c:v>
                </c:pt>
                <c:pt idx="297">
                  <c:v>59.581808366377238</c:v>
                </c:pt>
                <c:pt idx="298">
                  <c:v>59.991075705916515</c:v>
                </c:pt>
                <c:pt idx="299">
                  <c:v>60.401573847224071</c:v>
                </c:pt>
                <c:pt idx="300">
                  <c:v>60.81330063097829</c:v>
                </c:pt>
                <c:pt idx="301">
                  <c:v>61.226253891703522</c:v>
                </c:pt>
                <c:pt idx="302">
                  <c:v>61.640431457806358</c:v>
                </c:pt>
                <c:pt idx="303">
                  <c:v>62.055831151611699</c:v>
                </c:pt>
                <c:pt idx="304">
                  <c:v>62.472450789398685</c:v>
                </c:pt>
                <c:pt idx="305">
                  <c:v>62.890288181436475</c:v>
                </c:pt>
                <c:pt idx="306">
                  <c:v>63.309341132019817</c:v>
                </c:pt>
                <c:pt idx="307">
                  <c:v>63.729607439504512</c:v>
                </c:pt>
                <c:pt idx="308">
                  <c:v>64.151084896342695</c:v>
                </c:pt>
                <c:pt idx="309">
                  <c:v>64.573771289117929</c:v>
                </c:pt>
                <c:pt idx="310">
                  <c:v>64.997664398580199</c:v>
                </c:pt>
                <c:pt idx="311">
                  <c:v>65.422761999680745</c:v>
                </c:pt>
                <c:pt idx="312">
                  <c:v>65.849061861606685</c:v>
                </c:pt>
                <c:pt idx="313">
                  <c:v>66.276561747815521</c:v>
                </c:pt>
                <c:pt idx="314">
                  <c:v>66.705259416069524</c:v>
                </c:pt>
                <c:pt idx="315">
                  <c:v>67.135152618469917</c:v>
                </c:pt>
                <c:pt idx="316">
                  <c:v>67.566239101490936</c:v>
                </c:pt>
                <c:pt idx="317">
                  <c:v>67.998516606013737</c:v>
                </c:pt>
                <c:pt idx="318">
                  <c:v>68.431982867360176</c:v>
                </c:pt>
                <c:pt idx="319">
                  <c:v>68.866635615326388</c:v>
                </c:pt>
                <c:pt idx="320">
                  <c:v>69.302472574216296</c:v>
                </c:pt>
                <c:pt idx="321">
                  <c:v>69.739491462874895</c:v>
                </c:pt>
                <c:pt idx="322">
                  <c:v>70.17768999472149</c:v>
                </c:pt>
                <c:pt idx="323">
                  <c:v>70.617065877782693</c:v>
                </c:pt>
                <c:pt idx="324">
                  <c:v>71.057616814725336</c:v>
                </c:pt>
                <c:pt idx="325">
                  <c:v>71.49934050288924</c:v>
                </c:pt>
                <c:pt idx="326">
                  <c:v>71.942234654656872</c:v>
                </c:pt>
                <c:pt idx="327">
                  <c:v>72.386297017860528</c:v>
                </c:pt>
                <c:pt idx="328">
                  <c:v>72.831525355520313</c:v>
                </c:pt>
                <c:pt idx="329">
                  <c:v>73.277917425543791</c:v>
                </c:pt>
                <c:pt idx="330">
                  <c:v>73.725470980757123</c:v>
                </c:pt>
                <c:pt idx="331">
                  <c:v>74.174183768936089</c:v>
                </c:pt>
                <c:pt idx="332">
                  <c:v>74.624053532836953</c:v>
                </c:pt>
                <c:pt idx="333">
                  <c:v>75.075078010227202</c:v>
                </c:pt>
                <c:pt idx="334">
                  <c:v>75.527254933916197</c:v>
                </c:pt>
                <c:pt idx="335">
                  <c:v>75.980582031785644</c:v>
                </c:pt>
                <c:pt idx="336">
                  <c:v>76.435057026819976</c:v>
                </c:pt>
                <c:pt idx="337">
                  <c:v>76.890677637136619</c:v>
                </c:pt>
                <c:pt idx="338">
                  <c:v>77.347441576016109</c:v>
                </c:pt>
                <c:pt idx="339">
                  <c:v>77.805346551932047</c:v>
                </c:pt>
                <c:pt idx="340">
                  <c:v>78.264390268581053</c:v>
                </c:pt>
                <c:pt idx="341">
                  <c:v>78.724570424912457</c:v>
                </c:pt>
                <c:pt idx="342">
                  <c:v>79.185884715157968</c:v>
                </c:pt>
                <c:pt idx="343">
                  <c:v>79.648330828861177</c:v>
                </c:pt>
                <c:pt idx="344">
                  <c:v>80.111906450906957</c:v>
                </c:pt>
                <c:pt idx="345">
                  <c:v>80.576609261550743</c:v>
                </c:pt>
                <c:pt idx="346">
                  <c:v>81.042436936447672</c:v>
                </c:pt>
                <c:pt idx="347">
                  <c:v>81.509387146681632</c:v>
                </c:pt>
                <c:pt idx="348">
                  <c:v>81.977457558794171</c:v>
                </c:pt>
                <c:pt idx="349">
                  <c:v>82.44664583481331</c:v>
                </c:pt>
                <c:pt idx="350">
                  <c:v>82.916949632282225</c:v>
                </c:pt>
                <c:pt idx="351">
                  <c:v>83.38836660428781</c:v>
                </c:pt>
                <c:pt idx="352">
                  <c:v>83.860894399489169</c:v>
                </c:pt>
                <c:pt idx="353">
                  <c:v>84.334530662145895</c:v>
                </c:pt>
                <c:pt idx="354">
                  <c:v>84.809273032146336</c:v>
                </c:pt>
                <c:pt idx="355">
                  <c:v>85.285119145035694</c:v>
                </c:pt>
                <c:pt idx="356">
                  <c:v>85.762066632044039</c:v>
                </c:pt>
                <c:pt idx="357">
                  <c:v>86.240113120114174</c:v>
                </c:pt>
                <c:pt idx="358">
                  <c:v>86.719256231929407</c:v>
                </c:pt>
                <c:pt idx="359">
                  <c:v>87.199493585941212</c:v>
                </c:pt>
                <c:pt idx="360">
                  <c:v>87.680822796396811</c:v>
                </c:pt>
                <c:pt idx="361">
                  <c:v>88.163241473366568</c:v>
                </c:pt>
                <c:pt idx="362">
                  <c:v>88.646747222771324</c:v>
                </c:pt>
                <c:pt idx="363">
                  <c:v>89.131337646409634</c:v>
                </c:pt>
                <c:pt idx="364">
                  <c:v>89.617010341984866</c:v>
                </c:pt>
                <c:pt idx="365">
                  <c:v>90.103762903132179</c:v>
                </c:pt>
                <c:pt idx="366">
                  <c:v>90.59159344466326</c:v>
                </c:pt>
                <c:pt idx="367">
                  <c:v>91.080501128650013</c:v>
                </c:pt>
                <c:pt idx="368">
                  <c:v>91.570485640127188</c:v>
                </c:pt>
                <c:pt idx="369">
                  <c:v>92.061546661946537</c:v>
                </c:pt>
                <c:pt idx="370">
                  <c:v>92.553683874784781</c:v>
                </c:pt>
                <c:pt idx="371">
                  <c:v>93.04689695715156</c:v>
                </c:pt>
                <c:pt idx="372">
                  <c:v>93.541185585397344</c:v>
                </c:pt>
                <c:pt idx="373">
                  <c:v>94.036549433721405</c:v>
                </c:pt>
                <c:pt idx="374">
                  <c:v>94.532988174179692</c:v>
                </c:pt>
                <c:pt idx="375">
                  <c:v>95.030501476692734</c:v>
                </c:pt>
                <c:pt idx="376">
                  <c:v>95.529089009053507</c:v>
                </c:pt>
                <c:pt idx="377">
                  <c:v>96.028750436935312</c:v>
                </c:pt>
                <c:pt idx="378">
                  <c:v>96.529485423899629</c:v>
                </c:pt>
                <c:pt idx="379">
                  <c:v>97.03129363140394</c:v>
                </c:pt>
                <c:pt idx="380">
                  <c:v>97.534174718809581</c:v>
                </c:pt>
                <c:pt idx="381">
                  <c:v>98.038127772769087</c:v>
                </c:pt>
                <c:pt idx="382">
                  <c:v>98.543150735737939</c:v>
                </c:pt>
                <c:pt idx="383">
                  <c:v>99.049240975688903</c:v>
                </c:pt>
                <c:pt idx="384">
                  <c:v>99.556395856712129</c:v>
                </c:pt>
                <c:pt idx="385">
                  <c:v>100.06461273904262</c:v>
                </c:pt>
                <c:pt idx="386">
                  <c:v>100.57388897908763</c:v>
                </c:pt>
                <c:pt idx="387">
                  <c:v>101.08422192945399</c:v>
                </c:pt>
                <c:pt idx="388">
                  <c:v>101.59560893897525</c:v>
                </c:pt>
                <c:pt idx="389">
                  <c:v>102.10804735273871</c:v>
                </c:pt>
                <c:pt idx="390">
                  <c:v>102.62153451211239</c:v>
                </c:pt>
                <c:pt idx="391">
                  <c:v>103.13606775477187</c:v>
                </c:pt>
                <c:pt idx="392">
                  <c:v>103.65164441472699</c:v>
                </c:pt>
                <c:pt idx="393">
                  <c:v>104.16826182234846</c:v>
                </c:pt>
                <c:pt idx="394">
                  <c:v>104.68591730439435</c:v>
                </c:pt>
                <c:pt idx="395">
                  <c:v>105.20460818403649</c:v>
                </c:pt>
                <c:pt idx="396">
                  <c:v>105.72433178088669</c:v>
                </c:pt>
                <c:pt idx="397">
                  <c:v>106.24508541102297</c:v>
                </c:pt>
                <c:pt idx="398">
                  <c:v>106.76686638701555</c:v>
                </c:pt>
                <c:pt idx="399">
                  <c:v>107.28967201795284</c:v>
                </c:pt>
                <c:pt idx="400">
                  <c:v>107.8134996094672</c:v>
                </c:pt>
                <c:pt idx="401">
                  <c:v>108.33834601206274</c:v>
                </c:pt>
                <c:pt idx="402">
                  <c:v>108.86420716880298</c:v>
                </c:pt>
                <c:pt idx="403">
                  <c:v>109.39107856639583</c:v>
                </c:pt>
                <c:pt idx="404">
                  <c:v>109.91895568692787</c:v>
                </c:pt>
                <c:pt idx="405">
                  <c:v>110.44783400790831</c:v>
                </c:pt>
                <c:pt idx="406">
                  <c:v>110.97770900231281</c:v>
                </c:pt>
                <c:pt idx="407">
                  <c:v>111.50857613862705</c:v>
                </c:pt>
                <c:pt idx="408">
                  <c:v>112.04043088089004</c:v>
                </c:pt>
                <c:pt idx="409">
                  <c:v>112.57326868873724</c:v>
                </c:pt>
                <c:pt idx="410">
                  <c:v>113.10708501744334</c:v>
                </c:pt>
                <c:pt idx="411">
                  <c:v>113.64187281461977</c:v>
                </c:pt>
                <c:pt idx="412">
                  <c:v>114.17762001356279</c:v>
                </c:pt>
                <c:pt idx="413">
                  <c:v>114.71431203343072</c:v>
                </c:pt>
                <c:pt idx="414">
                  <c:v>115.25193428285465</c:v>
                </c:pt>
                <c:pt idx="415">
                  <c:v>115.79047216014801</c:v>
                </c:pt>
                <c:pt idx="416">
                  <c:v>116.32991105351428</c:v>
                </c:pt>
                <c:pt idx="417">
                  <c:v>116.87023634125285</c:v>
                </c:pt>
                <c:pt idx="418">
                  <c:v>117.41143339196303</c:v>
                </c:pt>
                <c:pt idx="419">
                  <c:v>117.95348756474621</c:v>
                </c:pt>
                <c:pt idx="420">
                  <c:v>118.49638278155747</c:v>
                </c:pt>
                <c:pt idx="421">
                  <c:v>119.04010009784868</c:v>
                </c:pt>
                <c:pt idx="422">
                  <c:v>119.58461912910943</c:v>
                </c:pt>
                <c:pt idx="423">
                  <c:v>120.12991947918367</c:v>
                </c:pt>
                <c:pt idx="424">
                  <c:v>120.67598074060395</c:v>
                </c:pt>
                <c:pt idx="425">
                  <c:v>121.22278249492206</c:v>
                </c:pt>
                <c:pt idx="426">
                  <c:v>121.77030431303635</c:v>
                </c:pt>
                <c:pt idx="427">
                  <c:v>122.31852575551549</c:v>
                </c:pt>
                <c:pt idx="428">
                  <c:v>122.86742637291884</c:v>
                </c:pt>
                <c:pt idx="429">
                  <c:v>123.41698570611322</c:v>
                </c:pt>
                <c:pt idx="430">
                  <c:v>123.96718328658639</c:v>
                </c:pt>
                <c:pt idx="431">
                  <c:v>124.51799863675693</c:v>
                </c:pt>
                <c:pt idx="432">
                  <c:v>125.06940896087259</c:v>
                </c:pt>
                <c:pt idx="433">
                  <c:v>125.62138683367382</c:v>
                </c:pt>
                <c:pt idx="434">
                  <c:v>126.17390250848935</c:v>
                </c:pt>
                <c:pt idx="435">
                  <c:v>126.72692622770509</c:v>
                </c:pt>
                <c:pt idx="436">
                  <c:v>127.28042822334544</c:v>
                </c:pt>
                <c:pt idx="437">
                  <c:v>127.8343787176472</c:v>
                </c:pt>
                <c:pt idx="438">
                  <c:v>128.3887479236264</c:v>
                </c:pt>
                <c:pt idx="439">
                  <c:v>128.94350604563769</c:v>
                </c:pt>
                <c:pt idx="440">
                  <c:v>129.49862327992659</c:v>
                </c:pt>
                <c:pt idx="441">
                  <c:v>130.05406981517424</c:v>
                </c:pt>
                <c:pt idx="442">
                  <c:v>130.60981724033118</c:v>
                </c:pt>
                <c:pt idx="443">
                  <c:v>131.16583995346016</c:v>
                </c:pt>
                <c:pt idx="444">
                  <c:v>131.72211375543054</c:v>
                </c:pt>
                <c:pt idx="445">
                  <c:v>132.27861444250135</c:v>
                </c:pt>
                <c:pt idx="446">
                  <c:v>132.83531780665598</c:v>
                </c:pt>
                <c:pt idx="447">
                  <c:v>133.39219963593197</c:v>
                </c:pt>
                <c:pt idx="448">
                  <c:v>133.94923571474604</c:v>
                </c:pt>
                <c:pt idx="449">
                  <c:v>134.50640182421407</c:v>
                </c:pt>
                <c:pt idx="450">
                  <c:v>135.06367374246634</c:v>
                </c:pt>
                <c:pt idx="451">
                  <c:v>135.62102724495784</c:v>
                </c:pt>
                <c:pt idx="452">
                  <c:v>136.17843810477365</c:v>
                </c:pt>
                <c:pt idx="453">
                  <c:v>136.73588411626912</c:v>
                </c:pt>
                <c:pt idx="454">
                  <c:v>137.29334711977938</c:v>
                </c:pt>
                <c:pt idx="455">
                  <c:v>137.85081097869326</c:v>
                </c:pt>
                <c:pt idx="456">
                  <c:v>138.40825955536368</c:v>
                </c:pt>
                <c:pt idx="457">
                  <c:v>138.96567671122085</c:v>
                </c:pt>
                <c:pt idx="458">
                  <c:v>139.52304630688306</c:v>
                </c:pt>
                <c:pt idx="459">
                  <c:v>140.08035220226557</c:v>
                </c:pt>
                <c:pt idx="460">
                  <c:v>140.63757825668714</c:v>
                </c:pt>
                <c:pt idx="461">
                  <c:v>141.19471015556803</c:v>
                </c:pt>
                <c:pt idx="462">
                  <c:v>141.75173723795336</c:v>
                </c:pt>
                <c:pt idx="463">
                  <c:v>142.30865066994699</c:v>
                </c:pt>
                <c:pt idx="464">
                  <c:v>142.86544161727528</c:v>
                </c:pt>
                <c:pt idx="465">
                  <c:v>143.42210124530331</c:v>
                </c:pt>
                <c:pt idx="466">
                  <c:v>143.97861918141595</c:v>
                </c:pt>
                <c:pt idx="467">
                  <c:v>144.53498197674168</c:v>
                </c:pt>
                <c:pt idx="468">
                  <c:v>145.09115750600967</c:v>
                </c:pt>
                <c:pt idx="469">
                  <c:v>145.6471003434259</c:v>
                </c:pt>
                <c:pt idx="470">
                  <c:v>146.20278989250454</c:v>
                </c:pt>
                <c:pt idx="471">
                  <c:v>146.75822654823313</c:v>
                </c:pt>
                <c:pt idx="472">
                  <c:v>147.31341070477743</c:v>
                </c:pt>
                <c:pt idx="473">
                  <c:v>147.8683427554837</c:v>
                </c:pt>
                <c:pt idx="474">
                  <c:v>148.42302309288118</c:v>
                </c:pt>
                <c:pt idx="475">
                  <c:v>148.97745210868442</c:v>
                </c:pt>
                <c:pt idx="476">
                  <c:v>149.53163019379559</c:v>
                </c:pt>
                <c:pt idx="477">
                  <c:v>150.08555773830693</c:v>
                </c:pt>
                <c:pt idx="478">
                  <c:v>150.63923513150297</c:v>
                </c:pt>
                <c:pt idx="479">
                  <c:v>151.19266276186301</c:v>
                </c:pt>
                <c:pt idx="480">
                  <c:v>151.74584101706333</c:v>
                </c:pt>
                <c:pt idx="481">
                  <c:v>152.29877028397956</c:v>
                </c:pt>
                <c:pt idx="482">
                  <c:v>152.85145094868903</c:v>
                </c:pt>
                <c:pt idx="483">
                  <c:v>153.40388339647296</c:v>
                </c:pt>
                <c:pt idx="484">
                  <c:v>153.95606801181884</c:v>
                </c:pt>
                <c:pt idx="485">
                  <c:v>154.50800517842271</c:v>
                </c:pt>
                <c:pt idx="486">
                  <c:v>155.05969527919143</c:v>
                </c:pt>
                <c:pt idx="487">
                  <c:v>155.61113869624492</c:v>
                </c:pt>
                <c:pt idx="488">
                  <c:v>156.16233581091845</c:v>
                </c:pt>
                <c:pt idx="489">
                  <c:v>156.71328700376489</c:v>
                </c:pt>
                <c:pt idx="490">
                  <c:v>157.26399265455694</c:v>
                </c:pt>
                <c:pt idx="491">
                  <c:v>157.81445314228941</c:v>
                </c:pt>
                <c:pt idx="492">
                  <c:v>158.36466884518137</c:v>
                </c:pt>
                <c:pt idx="493">
                  <c:v>158.91464014067844</c:v>
                </c:pt>
                <c:pt idx="494">
                  <c:v>159.46436740545496</c:v>
                </c:pt>
                <c:pt idx="495">
                  <c:v>160.01385101541626</c:v>
                </c:pt>
                <c:pt idx="496">
                  <c:v>160.56309134570074</c:v>
                </c:pt>
                <c:pt idx="497">
                  <c:v>161.11208877068219</c:v>
                </c:pt>
                <c:pt idx="498">
                  <c:v>161.66084366397186</c:v>
                </c:pt>
                <c:pt idx="499">
                  <c:v>162.20935639842074</c:v>
                </c:pt>
                <c:pt idx="500">
                  <c:v>162.75762734612161</c:v>
                </c:pt>
                <c:pt idx="501">
                  <c:v>168.22706732210023</c:v>
                </c:pt>
                <c:pt idx="502">
                  <c:v>173.67256856140386</c:v>
                </c:pt>
                <c:pt idx="503">
                  <c:v>179.09449587859643</c:v>
                </c:pt>
                <c:pt idx="504">
                  <c:v>184.49320679487246</c:v>
                </c:pt>
                <c:pt idx="505">
                  <c:v>189.86905174127071</c:v>
                </c:pt>
                <c:pt idx="506">
                  <c:v>195.22237425482933</c:v>
                </c:pt>
                <c:pt idx="507">
                  <c:v>200.55351116797658</c:v>
                </c:pt>
                <c:pt idx="508">
                  <c:v>205.86279279143668</c:v>
                </c:pt>
                <c:pt idx="509">
                  <c:v>211.15054309091693</c:v>
                </c:pt>
                <c:pt idx="510">
                  <c:v>216.41707985782929</c:v>
                </c:pt>
                <c:pt idx="511">
                  <c:v>221.6627148742879</c:v>
                </c:pt>
                <c:pt idx="512">
                  <c:v>226.88775407261227</c:v>
                </c:pt>
                <c:pt idx="513">
                  <c:v>232.09249768955519</c:v>
                </c:pt>
                <c:pt idx="514">
                  <c:v>237.27724041546432</c:v>
                </c:pt>
                <c:pt idx="515">
                  <c:v>242.44227153857645</c:v>
                </c:pt>
                <c:pt idx="516">
                  <c:v>247.58787508463465</c:v>
                </c:pt>
                <c:pt idx="517">
                  <c:v>252.71432995200936</c:v>
                </c:pt>
                <c:pt idx="518">
                  <c:v>257.82191004249677</c:v>
                </c:pt>
                <c:pt idx="519">
                  <c:v>262.91088438795924</c:v>
                </c:pt>
                <c:pt idx="520">
                  <c:v>267.9815172729663</c:v>
                </c:pt>
                <c:pt idx="521">
                  <c:v>273.03406835358624</c:v>
                </c:pt>
                <c:pt idx="522">
                  <c:v>278.06879277247299</c:v>
                </c:pt>
                <c:pt idx="523">
                  <c:v>283.08594127038566</c:v>
                </c:pt>
                <c:pt idx="524">
                  <c:v>288.08576029427263</c:v>
                </c:pt>
                <c:pt idx="525">
                  <c:v>293.06849210204615</c:v>
                </c:pt>
                <c:pt idx="526">
                  <c:v>298.03437486416794</c:v>
                </c:pt>
                <c:pt idx="527">
                  <c:v>302.98364276216103</c:v>
                </c:pt>
                <c:pt idx="528">
                  <c:v>307.91652608415825</c:v>
                </c:pt>
                <c:pt idx="529">
                  <c:v>312.83325131759341</c:v>
                </c:pt>
                <c:pt idx="530">
                  <c:v>317.73404123913588</c:v>
                </c:pt>
                <c:pt idx="531">
                  <c:v>322.61911500196567</c:v>
                </c:pt>
                <c:pt idx="532">
                  <c:v>327.48868822048223</c:v>
                </c:pt>
                <c:pt idx="533">
                  <c:v>332.34297305253551</c:v>
                </c:pt>
                <c:pt idx="534">
                  <c:v>337.1821782792648</c:v>
                </c:pt>
                <c:pt idx="535">
                  <c:v>342.00650938262731</c:v>
                </c:pt>
                <c:pt idx="536">
                  <c:v>346.81616862069461</c:v>
                </c:pt>
                <c:pt idx="537">
                  <c:v>351.61135510079242</c:v>
                </c:pt>
                <c:pt idx="538">
                  <c:v>356.39226485055576</c:v>
                </c:pt>
                <c:pt idx="539">
                  <c:v>361.15909088696861</c:v>
                </c:pt>
                <c:pt idx="540">
                  <c:v>365.9120232834548</c:v>
                </c:pt>
                <c:pt idx="541">
                  <c:v>370.65124923508364</c:v>
                </c:pt>
                <c:pt idx="542">
                  <c:v>375.37695312195149</c:v>
                </c:pt>
                <c:pt idx="543">
                  <c:v>380.08931657079819</c:v>
                </c:pt>
                <c:pt idx="544">
                  <c:v>384.78851851491453</c:v>
                </c:pt>
                <c:pt idx="545">
                  <c:v>389.47473525239502</c:v>
                </c:pt>
                <c:pt idx="546">
                  <c:v>394.14814050278812</c:v>
                </c:pt>
                <c:pt idx="547">
                  <c:v>398.80890546219359</c:v>
                </c:pt>
                <c:pt idx="548">
                  <c:v>403.45719885685509</c:v>
                </c:pt>
                <c:pt idx="549">
                  <c:v>408.0931869952941</c:v>
                </c:pt>
                <c:pt idx="550">
                  <c:v>412.71703381902961</c:v>
                </c:pt>
                <c:pt idx="551">
                  <c:v>417.3289009519255</c:v>
                </c:pt>
                <c:pt idx="552">
                  <c:v>421.92894774820729</c:v>
                </c:pt>
                <c:pt idx="553">
                  <c:v>426.51733133918674</c:v>
                </c:pt>
                <c:pt idx="554">
                  <c:v>431.09420667873241</c:v>
                </c:pt>
                <c:pt idx="555">
                  <c:v>435.65972658752224</c:v>
                </c:pt>
                <c:pt idx="556">
                  <c:v>440.21404179611301</c:v>
                </c:pt>
                <c:pt idx="557">
                  <c:v>444.75730098685978</c:v>
                </c:pt>
                <c:pt idx="558">
                  <c:v>449.28965083471763</c:v>
                </c:pt>
                <c:pt idx="559">
                  <c:v>453.81123604695642</c:v>
                </c:pt>
                <c:pt idx="560">
                  <c:v>458.32219940181784</c:v>
                </c:pt>
                <c:pt idx="561">
                  <c:v>462.82268178614351</c:v>
                </c:pt>
                <c:pt idx="562">
                  <c:v>467.31282223200088</c:v>
                </c:pt>
                <c:pt idx="563">
                  <c:v>471.79275795233309</c:v>
                </c:pt>
                <c:pt idx="564">
                  <c:v>476.26262437565799</c:v>
                </c:pt>
                <c:pt idx="565">
                  <c:v>480.72255517983979</c:v>
                </c:pt>
                <c:pt idx="566">
                  <c:v>485.17268232495667</c:v>
                </c:pt>
                <c:pt idx="567">
                  <c:v>489.6131360852861</c:v>
                </c:pt>
                <c:pt idx="568">
                  <c:v>494.04404508042848</c:v>
                </c:pt>
                <c:pt idx="569">
                  <c:v>498.46553630558975</c:v>
                </c:pt>
                <c:pt idx="570">
                  <c:v>502.87773516104147</c:v>
                </c:pt>
                <c:pt idx="571">
                  <c:v>507.28076548077695</c:v>
                </c:pt>
                <c:pt idx="572">
                  <c:v>511.67474956038052</c:v>
                </c:pt>
                <c:pt idx="573">
                  <c:v>516.05980818412684</c:v>
                </c:pt>
                <c:pt idx="574">
                  <c:v>520.43606065132519</c:v>
                </c:pt>
                <c:pt idx="575">
                  <c:v>524.80362480192446</c:v>
                </c:pt>
                <c:pt idx="576">
                  <c:v>529.16261704139231</c:v>
                </c:pt>
                <c:pt idx="577">
                  <c:v>533.51315236488153</c:v>
                </c:pt>
                <c:pt idx="578">
                  <c:v>537.85534438069737</c:v>
                </c:pt>
                <c:pt idx="579">
                  <c:v>542.18930533307582</c:v>
                </c:pt>
                <c:pt idx="580">
                  <c:v>546.51514612428514</c:v>
                </c:pt>
                <c:pt idx="581">
                  <c:v>550.83297633606003</c:v>
                </c:pt>
                <c:pt idx="582">
                  <c:v>555.14290425037916</c:v>
                </c:pt>
                <c:pt idx="583">
                  <c:v>559.44503686959274</c:v>
                </c:pt>
                <c:pt idx="584">
                  <c:v>563.73947993591059</c:v>
                </c:pt>
                <c:pt idx="585">
                  <c:v>568.02633795025588</c:v>
                </c:pt>
                <c:pt idx="586">
                  <c:v>572.30571419049284</c:v>
                </c:pt>
                <c:pt idx="587">
                  <c:v>576.57771072903302</c:v>
                </c:pt>
                <c:pt idx="588">
                  <c:v>580.842428449826</c:v>
                </c:pt>
                <c:pt idx="589">
                  <c:v>585.09996706473828</c:v>
                </c:pt>
                <c:pt idx="590">
                  <c:v>589.35042512932534</c:v>
                </c:pt>
                <c:pt idx="591">
                  <c:v>593.59390005799776</c:v>
                </c:pt>
                <c:pt idx="592">
                  <c:v>597.83048813858591</c:v>
                </c:pt>
                <c:pt idx="593">
                  <c:v>602.06028454630257</c:v>
                </c:pt>
                <c:pt idx="594">
                  <c:v>606.28338335710589</c:v>
                </c:pt>
                <c:pt idx="595">
                  <c:v>610.49987756046141</c:v>
                </c:pt>
                <c:pt idx="596">
                  <c:v>614.70985907150316</c:v>
                </c:pt>
                <c:pt idx="597">
                  <c:v>618.91341874259194</c:v>
                </c:pt>
                <c:pt idx="598">
                  <c:v>623.11064637426819</c:v>
                </c:pt>
                <c:pt idx="599">
                  <c:v>627.30163072559651</c:v>
                </c:pt>
                <c:pt idx="600">
                  <c:v>631.48645952389825</c:v>
                </c:pt>
                <c:pt idx="601">
                  <c:v>635.6652194738665</c:v>
                </c:pt>
                <c:pt idx="602">
                  <c:v>639.83799626605889</c:v>
                </c:pt>
                <c:pt idx="603">
                  <c:v>644.00487458476096</c:v>
                </c:pt>
                <c:pt idx="604">
                  <c:v>648.16593811521318</c:v>
                </c:pt>
                <c:pt idx="605">
                  <c:v>652.32126955019351</c:v>
                </c:pt>
                <c:pt idx="606">
                  <c:v>656.47095059594687</c:v>
                </c:pt>
                <c:pt idx="607">
                  <c:v>660.61506197745086</c:v>
                </c:pt>
                <c:pt idx="608">
                  <c:v>664.75368344300773</c:v>
                </c:pt>
                <c:pt idx="609">
                  <c:v>668.88689376815114</c:v>
                </c:pt>
                <c:pt idx="610">
                  <c:v>673.01477075885498</c:v>
                </c:pt>
                <c:pt idx="611">
                  <c:v>677.13739125403129</c:v>
                </c:pt>
                <c:pt idx="612">
                  <c:v>681.25483112730319</c:v>
                </c:pt>
                <c:pt idx="613">
                  <c:v>685.36716528803822</c:v>
                </c:pt>
                <c:pt idx="614">
                  <c:v>689.47446768162638</c:v>
                </c:pt>
                <c:pt idx="615">
                  <c:v>693.57681128898651</c:v>
                </c:pt>
                <c:pt idx="616">
                  <c:v>697.67426812528493</c:v>
                </c:pt>
                <c:pt idx="617">
                  <c:v>701.76690923784736</c:v>
                </c:pt>
                <c:pt idx="618">
                  <c:v>705.85480470324762</c:v>
                </c:pt>
                <c:pt idx="619">
                  <c:v>709.93802362355359</c:v>
                </c:pt>
                <c:pt idx="620">
                  <c:v>714.01663412171263</c:v>
                </c:pt>
                <c:pt idx="621">
                  <c:v>718.09070333605655</c:v>
                </c:pt>
                <c:pt idx="622">
                  <c:v>722.1602974139081</c:v>
                </c:pt>
                <c:pt idx="623">
                  <c:v>726.22548150426962</c:v>
                </c:pt>
                <c:pt idx="624">
                  <c:v>730.28631974957557</c:v>
                </c:pt>
                <c:pt idx="625">
                  <c:v>734.34287527649133</c:v>
                </c:pt>
                <c:pt idx="626">
                  <c:v>738.39521018574112</c:v>
                </c:pt>
                <c:pt idx="627">
                  <c:v>742.44338554094963</c:v>
                </c:pt>
                <c:pt idx="628">
                  <c:v>746.48746135648241</c:v>
                </c:pt>
                <c:pt idx="629">
                  <c:v>750.52749658427365</c:v>
                </c:pt>
                <c:pt idx="630">
                  <c:v>754.56354909963068</c:v>
                </c:pt>
                <c:pt idx="631">
                  <c:v>758.59567568600846</c:v>
                </c:pt>
                <c:pt idx="632">
                  <c:v>762.62393201875011</c:v>
                </c:pt>
                <c:pt idx="633">
                  <c:v>766.64837264779339</c:v>
                </c:pt>
                <c:pt idx="634">
                  <c:v>770.66905097934841</c:v>
                </c:pt>
                <c:pt idx="635">
                  <c:v>774.68601925655571</c:v>
                </c:pt>
                <c:pt idx="636">
                  <c:v>778.69932853914077</c:v>
                </c:pt>
                <c:pt idx="637">
                  <c:v>782.70902868208782</c:v>
                </c:pt>
                <c:pt idx="638">
                  <c:v>786.71516831336157</c:v>
                </c:pt>
                <c:pt idx="639">
                  <c:v>790.7177948107161</c:v>
                </c:pt>
                <c:pt idx="640">
                  <c:v>794.71695427763746</c:v>
                </c:pt>
                <c:pt idx="641">
                  <c:v>798.71269151847639</c:v>
                </c:pt>
                <c:pt idx="642">
                  <c:v>802.70505001283948</c:v>
                </c:pt>
                <c:pt idx="643">
                  <c:v>806.69407188931621</c:v>
                </c:pt>
                <c:pt idx="644">
                  <c:v>810.67979789863375</c:v>
                </c:pt>
                <c:pt idx="645">
                  <c:v>814.66226738634214</c:v>
                </c:pt>
                <c:pt idx="646">
                  <c:v>818.6415182651449</c:v>
                </c:pt>
                <c:pt idx="647">
                  <c:v>822.61758698700635</c:v>
                </c:pt>
                <c:pt idx="648">
                  <c:v>826.59050851517554</c:v>
                </c:pt>
                <c:pt idx="649">
                  <c:v>830.56031629628421</c:v>
                </c:pt>
                <c:pt idx="650">
                  <c:v>834.52704223268574</c:v>
                </c:pt>
                <c:pt idx="651">
                  <c:v>838.49071665521444</c:v>
                </c:pt>
                <c:pt idx="652">
                  <c:v>842.45136829655712</c:v>
                </c:pt>
                <c:pt idx="653">
                  <c:v>846.40902426543539</c:v>
                </c:pt>
                <c:pt idx="654">
                  <c:v>850.3637100218067</c:v>
                </c:pt>
                <c:pt idx="655">
                  <c:v>854.31544935329669</c:v>
                </c:pt>
                <c:pt idx="656">
                  <c:v>858.26426435307917</c:v>
                </c:pt>
                <c:pt idx="657">
                  <c:v>862.21017539941818</c:v>
                </c:pt>
                <c:pt idx="658">
                  <c:v>866.15320113708685</c:v>
                </c:pt>
                <c:pt idx="659">
                  <c:v>870.09335846086901</c:v>
                </c:pt>
                <c:pt idx="660">
                  <c:v>874.03066250134032</c:v>
                </c:pt>
                <c:pt idx="661">
                  <c:v>877.96512661311476</c:v>
                </c:pt>
                <c:pt idx="662">
                  <c:v>881.89676236572291</c:v>
                </c:pt>
                <c:pt idx="663">
                  <c:v>885.82557953727166</c:v>
                </c:pt>
                <c:pt idx="664">
                  <c:v>889.75158611101074</c:v>
                </c:pt>
                <c:pt idx="665">
                  <c:v>893.6747882749064</c:v>
                </c:pt>
                <c:pt idx="666">
                  <c:v>897.59519042429724</c:v>
                </c:pt>
                <c:pt idx="667">
                  <c:v>901.51279516767534</c:v>
                </c:pt>
                <c:pt idx="668">
                  <c:v>905.42760333560864</c:v>
                </c:pt>
                <c:pt idx="669">
                  <c:v>909.33961399278871</c:v>
                </c:pt>
                <c:pt idx="670">
                  <c:v>913.2488244531595</c:v>
                </c:pt>
                <c:pt idx="671">
                  <c:v>917.15523029805195</c:v>
                </c:pt>
                <c:pt idx="672">
                  <c:v>921.05882539722427</c:v>
                </c:pt>
                <c:pt idx="673">
                  <c:v>924.95960193268024</c:v>
                </c:pt>
                <c:pt idx="674">
                  <c:v>928.85755042511653</c:v>
                </c:pt>
                <c:pt idx="675">
                  <c:v>932.75265976283049</c:v>
                </c:pt>
                <c:pt idx="676">
                  <c:v>936.64491723290178</c:v>
                </c:pt>
                <c:pt idx="677">
                  <c:v>940.53430855445049</c:v>
                </c:pt>
                <c:pt idx="678">
                  <c:v>944.42081791376279</c:v>
                </c:pt>
                <c:pt idx="679">
                  <c:v>948.30442800107039</c:v>
                </c:pt>
                <c:pt idx="680">
                  <c:v>952.18512004876595</c:v>
                </c:pt>
                <c:pt idx="681">
                  <c:v>956.06287387083853</c:v>
                </c:pt>
                <c:pt idx="682">
                  <c:v>959.93766790331506</c:v>
                </c:pt>
                <c:pt idx="683">
                  <c:v>963.80947924549992</c:v>
                </c:pt>
                <c:pt idx="684">
                  <c:v>967.67828370181189</c:v>
                </c:pt>
                <c:pt idx="685">
                  <c:v>971.54405582402956</c:v>
                </c:pt>
                <c:pt idx="686">
                  <c:v>975.40676895376419</c:v>
                </c:pt>
                <c:pt idx="687">
                  <c:v>979.26639526499457</c:v>
                </c:pt>
                <c:pt idx="688">
                  <c:v>983.12290580650892</c:v>
                </c:pt>
                <c:pt idx="689">
                  <c:v>986.9762705441135</c:v>
                </c:pt>
                <c:pt idx="690">
                  <c:v>990.82645840248222</c:v>
                </c:pt>
                <c:pt idx="691">
                  <c:v>994.67343730653226</c:v>
                </c:pt>
                <c:pt idx="692">
                  <c:v>998.51717422222771</c:v>
                </c:pt>
                <c:pt idx="693">
                  <c:v>1002.357635196723</c:v>
                </c:pt>
                <c:pt idx="694">
                  <c:v>1006.1947853977725</c:v>
                </c:pt>
                <c:pt idx="695">
                  <c:v>1010.0285891523432</c:v>
                </c:pt>
                <c:pt idx="696">
                  <c:v>1013.8590099843778</c:v>
                </c:pt>
                <c:pt idx="697">
                  <c:v>1017.6860106516674</c:v>
                </c:pt>
                <c:pt idx="698">
                  <c:v>1021.5095531818002</c:v>
                </c:pt>
                <c:pt idx="699">
                  <c:v>1025.3295989071632</c:v>
                </c:pt>
                <c:pt idx="700">
                  <c:v>1029.1461084989792</c:v>
                </c:pt>
                <c:pt idx="701">
                  <c:v>1032.9590420003692</c:v>
                </c:pt>
                <c:pt idx="702">
                  <c:v>1036.7683588584391</c:v>
                </c:pt>
                <c:pt idx="703">
                  <c:v>1040.5740179553877</c:v>
                </c:pt>
                <c:pt idx="704">
                  <c:v>1044.3759776386471</c:v>
                </c:pt>
                <c:pt idx="705">
                  <c:v>1048.1741957500622</c:v>
                </c:pt>
                <c:pt idx="706">
                  <c:v>1051.9686296541249</c:v>
                </c:pt>
                <c:pt idx="707">
                  <c:v>1055.7592362652783</c:v>
                </c:pt>
                <c:pt idx="708">
                  <c:v>1059.5459720743106</c:v>
                </c:pt>
                <c:pt idx="709">
                  <c:v>1063.3287931738589</c:v>
                </c:pt>
                <c:pt idx="710">
                  <c:v>1067.1076552830455</c:v>
                </c:pt>
                <c:pt idx="711">
                  <c:v>1070.8825137712702</c:v>
                </c:pt>
                <c:pt idx="712">
                  <c:v>1074.6533236811836</c:v>
                </c:pt>
                <c:pt idx="713">
                  <c:v>1078.4200397508646</c:v>
                </c:pt>
                <c:pt idx="714">
                  <c:v>1082.1826164352303</c:v>
                </c:pt>
                <c:pt idx="715">
                  <c:v>1085.9410079267004</c:v>
                </c:pt>
                <c:pt idx="716">
                  <c:v>1089.6951681751457</c:v>
                </c:pt>
                <c:pt idx="717">
                  <c:v>1093.4450509071416</c:v>
                </c:pt>
                <c:pt idx="718">
                  <c:v>1097.1906096445568</c:v>
                </c:pt>
                <c:pt idx="719">
                  <c:v>1100.9317977224966</c:v>
                </c:pt>
                <c:pt idx="720">
                  <c:v>1104.6685683066294</c:v>
                </c:pt>
                <c:pt idx="721">
                  <c:v>1108.4008744099174</c:v>
                </c:pt>
                <c:pt idx="722">
                  <c:v>1112.1286689087769</c:v>
                </c:pt>
                <c:pt idx="723">
                  <c:v>1115.8519045586879</c:v>
                </c:pt>
                <c:pt idx="724">
                  <c:v>1119.5705340092768</c:v>
                </c:pt>
                <c:pt idx="725">
                  <c:v>1123.2845098188932</c:v>
                </c:pt>
                <c:pt idx="726">
                  <c:v>1126.9937844687001</c:v>
                </c:pt>
                <c:pt idx="727">
                  <c:v>1130.6983103762987</c:v>
                </c:pt>
                <c:pt idx="728">
                  <c:v>1134.3980399089041</c:v>
                </c:pt>
                <c:pt idx="729">
                  <c:v>1138.0929253960942</c:v>
                </c:pt>
                <c:pt idx="730">
                  <c:v>1141.782919142144</c:v>
                </c:pt>
                <c:pt idx="731">
                  <c:v>1145.4679734379677</c:v>
                </c:pt>
                <c:pt idx="732">
                  <c:v>1149.1480405726797</c:v>
                </c:pt>
                <c:pt idx="733">
                  <c:v>1152.8230728447941</c:v>
                </c:pt>
                <c:pt idx="734">
                  <c:v>1156.4930225730732</c:v>
                </c:pt>
                <c:pt idx="735">
                  <c:v>1160.1578421070435</c:v>
                </c:pt>
                <c:pt idx="736">
                  <c:v>1163.817483837189</c:v>
                </c:pt>
                <c:pt idx="737">
                  <c:v>1167.4719002048369</c:v>
                </c:pt>
                <c:pt idx="738">
                  <c:v>1171.1210437117466</c:v>
                </c:pt>
                <c:pt idx="739">
                  <c:v>1174.7648669294156</c:v>
                </c:pt>
                <c:pt idx="740">
                  <c:v>1178.4033225081109</c:v>
                </c:pt>
                <c:pt idx="741">
                  <c:v>1182.0363631856385</c:v>
                </c:pt>
                <c:pt idx="742">
                  <c:v>1185.6639417958606</c:v>
                </c:pt>
                <c:pt idx="743">
                  <c:v>1189.2860112769702</c:v>
                </c:pt>
                <c:pt idx="744">
                  <c:v>1192.902524679532</c:v>
                </c:pt>
                <c:pt idx="745">
                  <c:v>1196.5134351742993</c:v>
                </c:pt>
                <c:pt idx="746">
                  <c:v>1200.1186960598138</c:v>
                </c:pt>
                <c:pt idx="747">
                  <c:v>1203.7182607697985</c:v>
                </c:pt>
                <c:pt idx="748">
                  <c:v>1207.312082880348</c:v>
                </c:pt>
                <c:pt idx="749">
                  <c:v>1210.9001161169278</c:v>
                </c:pt>
                <c:pt idx="750">
                  <c:v>1214.482314361185</c:v>
                </c:pt>
                <c:pt idx="751">
                  <c:v>1218.0586316575796</c:v>
                </c:pt>
                <c:pt idx="752">
                  <c:v>1221.6290222198434</c:v>
                </c:pt>
                <c:pt idx="753">
                  <c:v>1225.1934404372691</c:v>
                </c:pt>
                <c:pt idx="754">
                  <c:v>1228.7518408808394</c:v>
                </c:pt>
                <c:pt idx="755">
                  <c:v>1232.3041783091967</c:v>
                </c:pt>
                <c:pt idx="756">
                  <c:v>1235.8504076744641</c:v>
                </c:pt>
                <c:pt idx="757">
                  <c:v>1239.3904841279179</c:v>
                </c:pt>
                <c:pt idx="758">
                  <c:v>1242.9243630255187</c:v>
                </c:pt>
                <c:pt idx="759">
                  <c:v>1246.4519999333045</c:v>
                </c:pt>
                <c:pt idx="760">
                  <c:v>1249.9733506326506</c:v>
                </c:pt>
                <c:pt idx="761">
                  <c:v>1253.4883711254004</c:v>
                </c:pt>
                <c:pt idx="762">
                  <c:v>1256.9970176388699</c:v>
                </c:pt>
                <c:pt idx="763">
                  <c:v>1260.4992466307312</c:v>
                </c:pt>
                <c:pt idx="764">
                  <c:v>1263.9950147937768</c:v>
                </c:pt>
                <c:pt idx="765">
                  <c:v>1267.4842790605685</c:v>
                </c:pt>
                <c:pt idx="766">
                  <c:v>1270.9669966079759</c:v>
                </c:pt>
                <c:pt idx="767">
                  <c:v>1274.443124861604</c:v>
                </c:pt>
                <c:pt idx="768">
                  <c:v>1277.9126215001154</c:v>
                </c:pt>
                <c:pt idx="769">
                  <c:v>1281.3754444594499</c:v>
                </c:pt>
                <c:pt idx="770">
                  <c:v>1284.8315519369417</c:v>
                </c:pt>
                <c:pt idx="771">
                  <c:v>1288.2809023953394</c:v>
                </c:pt>
                <c:pt idx="772">
                  <c:v>1291.7234545667302</c:v>
                </c:pt>
                <c:pt idx="773">
                  <c:v>1295.1591674563697</c:v>
                </c:pt>
                <c:pt idx="774">
                  <c:v>1298.5880003464197</c:v>
                </c:pt>
                <c:pt idx="775">
                  <c:v>1302.0099127995984</c:v>
                </c:pt>
                <c:pt idx="776">
                  <c:v>1305.4248646627411</c:v>
                </c:pt>
                <c:pt idx="777">
                  <c:v>1308.8328160702761</c:v>
                </c:pt>
                <c:pt idx="778">
                  <c:v>1312.2337274476167</c:v>
                </c:pt>
                <c:pt idx="779">
                  <c:v>1315.6275595144714</c:v>
                </c:pt>
                <c:pt idx="780">
                  <c:v>1319.014273288072</c:v>
                </c:pt>
                <c:pt idx="781">
                  <c:v>1322.3938300863251</c:v>
                </c:pt>
                <c:pt idx="782">
                  <c:v>1325.7661915308843</c:v>
                </c:pt>
                <c:pt idx="783">
                  <c:v>1329.1313195501466</c:v>
                </c:pt>
                <c:pt idx="784">
                  <c:v>1332.4891763821749</c:v>
                </c:pt>
                <c:pt idx="785">
                  <c:v>1335.839724577547</c:v>
                </c:pt>
                <c:pt idx="786">
                  <c:v>1339.182927002131</c:v>
                </c:pt>
                <c:pt idx="787">
                  <c:v>1342.5187468397919</c:v>
                </c:pt>
                <c:pt idx="788">
                  <c:v>1345.8471475950269</c:v>
                </c:pt>
                <c:pt idx="789">
                  <c:v>1349.1680930955324</c:v>
                </c:pt>
                <c:pt idx="790">
                  <c:v>1352.481547494704</c:v>
                </c:pt>
                <c:pt idx="791">
                  <c:v>1355.7874752740686</c:v>
                </c:pt>
                <c:pt idx="792">
                  <c:v>1359.0858412456521</c:v>
                </c:pt>
                <c:pt idx="793">
                  <c:v>1362.3766105542818</c:v>
                </c:pt>
                <c:pt idx="794">
                  <c:v>1365.659748679825</c:v>
                </c:pt>
                <c:pt idx="795">
                  <c:v>1368.9352214393646</c:v>
                </c:pt>
                <c:pt idx="796">
                  <c:v>1372.2029949893124</c:v>
                </c:pt>
                <c:pt idx="797">
                  <c:v>1375.4630358274619</c:v>
                </c:pt>
                <c:pt idx="798">
                  <c:v>1378.7153107949796</c:v>
                </c:pt>
                <c:pt idx="799">
                  <c:v>1381.9597870783366</c:v>
                </c:pt>
                <c:pt idx="800">
                  <c:v>1385.1964322111814</c:v>
                </c:pt>
                <c:pt idx="801">
                  <c:v>1388.4252140761548</c:v>
                </c:pt>
                <c:pt idx="802">
                  <c:v>1391.646100906645</c:v>
                </c:pt>
                <c:pt idx="803">
                  <c:v>1394.8590612884882</c:v>
                </c:pt>
                <c:pt idx="804">
                  <c:v>1398.064064161611</c:v>
                </c:pt>
                <c:pt idx="805">
                  <c:v>1401.261078821617</c:v>
                </c:pt>
                <c:pt idx="806">
                  <c:v>1404.4500749213191</c:v>
                </c:pt>
                <c:pt idx="807">
                  <c:v>1407.6310224722156</c:v>
                </c:pt>
                <c:pt idx="808">
                  <c:v>1410.8038918459135</c:v>
                </c:pt>
                <c:pt idx="809">
                  <c:v>1413.9686537754972</c:v>
                </c:pt>
                <c:pt idx="810">
                  <c:v>1417.1252793568437</c:v>
                </c:pt>
                <c:pt idx="811">
                  <c:v>1420.2737400498872</c:v>
                </c:pt>
                <c:pt idx="812">
                  <c:v>1423.4140076798283</c:v>
                </c:pt>
                <c:pt idx="813">
                  <c:v>1426.5460544382943</c:v>
                </c:pt>
                <c:pt idx="814">
                  <c:v>1429.669852884447</c:v>
                </c:pt>
                <c:pt idx="815">
                  <c:v>1432.7853759460399</c:v>
                </c:pt>
                <c:pt idx="816">
                  <c:v>1435.8925969204254</c:v>
                </c:pt>
                <c:pt idx="817">
                  <c:v>1438.9914894755109</c:v>
                </c:pt>
                <c:pt idx="818">
                  <c:v>1442.0820276506672</c:v>
                </c:pt>
                <c:pt idx="819">
                  <c:v>1445.1641858575865</c:v>
                </c:pt>
                <c:pt idx="820">
                  <c:v>1448.2379388810923</c:v>
                </c:pt>
                <c:pt idx="821">
                  <c:v>1451.3032618799011</c:v>
                </c:pt>
                <c:pt idx="822">
                  <c:v>1454.3601303873356</c:v>
                </c:pt>
                <c:pt idx="823">
                  <c:v>1457.4085203119917</c:v>
                </c:pt>
                <c:pt idx="824">
                  <c:v>1460.4484079383565</c:v>
                </c:pt>
                <c:pt idx="825">
                  <c:v>1463.479769927382</c:v>
                </c:pt>
                <c:pt idx="826">
                  <c:v>1466.5025833170105</c:v>
                </c:pt>
                <c:pt idx="827">
                  <c:v>1469.5168255226545</c:v>
                </c:pt>
                <c:pt idx="828">
                  <c:v>1472.5224743376314</c:v>
                </c:pt>
                <c:pt idx="829">
                  <c:v>1475.5195079335533</c:v>
                </c:pt>
                <c:pt idx="830">
                  <c:v>1478.5079048606708</c:v>
                </c:pt>
                <c:pt idx="831">
                  <c:v>1481.4876440481733</c:v>
                </c:pt>
                <c:pt idx="832">
                  <c:v>1484.4587048044439</c:v>
                </c:pt>
                <c:pt idx="833">
                  <c:v>1487.421066817272</c:v>
                </c:pt>
                <c:pt idx="834">
                  <c:v>1490.3747101540221</c:v>
                </c:pt>
                <c:pt idx="835">
                  <c:v>1493.3196152617577</c:v>
                </c:pt>
                <c:pt idx="836">
                  <c:v>1496.2557629673249</c:v>
                </c:pt>
                <c:pt idx="837">
                  <c:v>1499.1831344773923</c:v>
                </c:pt>
                <c:pt idx="838">
                  <c:v>1502.1017113784483</c:v>
                </c:pt>
                <c:pt idx="839">
                  <c:v>1505.0114756367577</c:v>
                </c:pt>
                <c:pt idx="840">
                  <c:v>1507.9124095982766</c:v>
                </c:pt>
                <c:pt idx="841">
                  <c:v>1510.8044959885256</c:v>
                </c:pt>
                <c:pt idx="842">
                  <c:v>1513.6877179124231</c:v>
                </c:pt>
                <c:pt idx="843">
                  <c:v>1516.5620588540776</c:v>
                </c:pt>
                <c:pt idx="844">
                  <c:v>1519.4275026765401</c:v>
                </c:pt>
                <c:pt idx="845">
                  <c:v>1522.2840336215174</c:v>
                </c:pt>
                <c:pt idx="846">
                  <c:v>1525.1316363090443</c:v>
                </c:pt>
                <c:pt idx="847">
                  <c:v>1527.9702957371192</c:v>
                </c:pt>
                <c:pt idx="848">
                  <c:v>1530.7999972812984</c:v>
                </c:pt>
                <c:pt idx="849">
                  <c:v>1533.6207266942545</c:v>
                </c:pt>
                <c:pt idx="850">
                  <c:v>1536.4324701052947</c:v>
                </c:pt>
                <c:pt idx="851">
                  <c:v>1539.2352140198432</c:v>
                </c:pt>
                <c:pt idx="852">
                  <c:v>1542.0289453188846</c:v>
                </c:pt>
                <c:pt idx="853">
                  <c:v>1544.8136512583717</c:v>
                </c:pt>
                <c:pt idx="854">
                  <c:v>1547.5893194685957</c:v>
                </c:pt>
                <c:pt idx="855">
                  <c:v>1550.3559379535209</c:v>
                </c:pt>
                <c:pt idx="856">
                  <c:v>1553.1134950900828</c:v>
                </c:pt>
                <c:pt idx="857">
                  <c:v>1555.8619796274511</c:v>
                </c:pt>
                <c:pt idx="858">
                  <c:v>1558.601380686257</c:v>
                </c:pt>
                <c:pt idx="859">
                  <c:v>1561.3316877577861</c:v>
                </c:pt>
                <c:pt idx="860">
                  <c:v>1564.0528907031367</c:v>
                </c:pt>
                <c:pt idx="861">
                  <c:v>1566.7649797523432</c:v>
                </c:pt>
                <c:pt idx="862">
                  <c:v>1569.467945503467</c:v>
                </c:pt>
                <c:pt idx="863">
                  <c:v>1572.1617789216532</c:v>
                </c:pt>
                <c:pt idx="864">
                  <c:v>1574.8464713381536</c:v>
                </c:pt>
                <c:pt idx="865">
                  <c:v>1577.522014449318</c:v>
                </c:pt>
                <c:pt idx="866">
                  <c:v>1580.1884003155533</c:v>
                </c:pt>
                <c:pt idx="867">
                  <c:v>1582.8456213602492</c:v>
                </c:pt>
                <c:pt idx="868">
                  <c:v>1585.4936703686742</c:v>
                </c:pt>
                <c:pt idx="869">
                  <c:v>1588.1325404868383</c:v>
                </c:pt>
                <c:pt idx="870">
                  <c:v>1590.7622252203266</c:v>
                </c:pt>
                <c:pt idx="871">
                  <c:v>1593.3827184331017</c:v>
                </c:pt>
                <c:pt idx="872">
                  <c:v>1595.9940143462752</c:v>
                </c:pt>
                <c:pt idx="873">
                  <c:v>1598.5961075368512</c:v>
                </c:pt>
                <c:pt idx="874">
                  <c:v>1601.1889929364384</c:v>
                </c:pt>
                <c:pt idx="875">
                  <c:v>1603.7726658299352</c:v>
                </c:pt>
                <c:pt idx="876">
                  <c:v>1606.3471218541847</c:v>
                </c:pt>
                <c:pt idx="877">
                  <c:v>1608.9123569966018</c:v>
                </c:pt>
                <c:pt idx="878">
                  <c:v>1611.4683675937733</c:v>
                </c:pt>
                <c:pt idx="879">
                  <c:v>1614.0151503300297</c:v>
                </c:pt>
                <c:pt idx="880">
                  <c:v>1616.5527022359895</c:v>
                </c:pt>
                <c:pt idx="881">
                  <c:v>1619.0810206870783</c:v>
                </c:pt>
                <c:pt idx="882">
                  <c:v>1621.6001034020205</c:v>
                </c:pt>
                <c:pt idx="883">
                  <c:v>1624.1099484413055</c:v>
                </c:pt>
                <c:pt idx="884">
                  <c:v>1626.6105542056277</c:v>
                </c:pt>
                <c:pt idx="885">
                  <c:v>1629.101919434303</c:v>
                </c:pt>
                <c:pt idx="886">
                  <c:v>1631.5840432036587</c:v>
                </c:pt>
                <c:pt idx="887">
                  <c:v>1634.0569249254002</c:v>
                </c:pt>
                <c:pt idx="888">
                  <c:v>1636.5205643449535</c:v>
                </c:pt>
                <c:pt idx="889">
                  <c:v>1638.9749615397848</c:v>
                </c:pt>
                <c:pt idx="890">
                  <c:v>1638.9749615397848</c:v>
                </c:pt>
                <c:pt idx="891">
                  <c:v>1638.9749615397848</c:v>
                </c:pt>
                <c:pt idx="892">
                  <c:v>1638.9749615397848</c:v>
                </c:pt>
                <c:pt idx="893">
                  <c:v>1638.9749615397848</c:v>
                </c:pt>
                <c:pt idx="894">
                  <c:v>1638.9749615397848</c:v>
                </c:pt>
                <c:pt idx="895">
                  <c:v>1638.9749615397848</c:v>
                </c:pt>
                <c:pt idx="896">
                  <c:v>1638.9749615397848</c:v>
                </c:pt>
                <c:pt idx="897">
                  <c:v>1638.9749615397848</c:v>
                </c:pt>
                <c:pt idx="898">
                  <c:v>1638.9749615397848</c:v>
                </c:pt>
                <c:pt idx="899">
                  <c:v>1638.9749615397848</c:v>
                </c:pt>
                <c:pt idx="900">
                  <c:v>1638.9749615397848</c:v>
                </c:pt>
                <c:pt idx="901">
                  <c:v>1638.9749615397848</c:v>
                </c:pt>
                <c:pt idx="902">
                  <c:v>1638.9749615397848</c:v>
                </c:pt>
                <c:pt idx="903">
                  <c:v>1638.9749615397848</c:v>
                </c:pt>
                <c:pt idx="904">
                  <c:v>1638.9749615397848</c:v>
                </c:pt>
                <c:pt idx="905">
                  <c:v>1638.9749615397848</c:v>
                </c:pt>
                <c:pt idx="906">
                  <c:v>1638.9749615397848</c:v>
                </c:pt>
                <c:pt idx="907">
                  <c:v>1638.9749615397848</c:v>
                </c:pt>
                <c:pt idx="908">
                  <c:v>1638.9749615397848</c:v>
                </c:pt>
                <c:pt idx="909">
                  <c:v>1638.9749615397848</c:v>
                </c:pt>
                <c:pt idx="910">
                  <c:v>1638.9749615397848</c:v>
                </c:pt>
                <c:pt idx="911">
                  <c:v>1638.9749615397848</c:v>
                </c:pt>
                <c:pt idx="912">
                  <c:v>1638.9749615397848</c:v>
                </c:pt>
                <c:pt idx="913">
                  <c:v>1638.9749615397848</c:v>
                </c:pt>
                <c:pt idx="914">
                  <c:v>1638.9749615397848</c:v>
                </c:pt>
                <c:pt idx="915">
                  <c:v>1638.9749615397848</c:v>
                </c:pt>
                <c:pt idx="916">
                  <c:v>1638.9749615397848</c:v>
                </c:pt>
                <c:pt idx="917">
                  <c:v>1638.9749615397848</c:v>
                </c:pt>
                <c:pt idx="918">
                  <c:v>1638.9749615397848</c:v>
                </c:pt>
                <c:pt idx="919">
                  <c:v>1638.9749615397848</c:v>
                </c:pt>
                <c:pt idx="920">
                  <c:v>1638.9749615397848</c:v>
                </c:pt>
                <c:pt idx="921">
                  <c:v>1638.9749615397848</c:v>
                </c:pt>
                <c:pt idx="922">
                  <c:v>1638.9749615397848</c:v>
                </c:pt>
                <c:pt idx="923">
                  <c:v>1638.9749615397848</c:v>
                </c:pt>
                <c:pt idx="924">
                  <c:v>1638.9749615397848</c:v>
                </c:pt>
                <c:pt idx="925">
                  <c:v>1638.9749615397848</c:v>
                </c:pt>
                <c:pt idx="926">
                  <c:v>1638.9749615397848</c:v>
                </c:pt>
                <c:pt idx="927">
                  <c:v>1638.9749615397848</c:v>
                </c:pt>
                <c:pt idx="928">
                  <c:v>1638.9749615397848</c:v>
                </c:pt>
                <c:pt idx="929">
                  <c:v>1638.9749615397848</c:v>
                </c:pt>
                <c:pt idx="930">
                  <c:v>1638.9749615397848</c:v>
                </c:pt>
                <c:pt idx="931">
                  <c:v>1638.9749615397848</c:v>
                </c:pt>
                <c:pt idx="932">
                  <c:v>1638.9749615397848</c:v>
                </c:pt>
                <c:pt idx="933">
                  <c:v>1638.9749615397848</c:v>
                </c:pt>
                <c:pt idx="934">
                  <c:v>1638.9749615397848</c:v>
                </c:pt>
                <c:pt idx="935">
                  <c:v>1638.9749615397848</c:v>
                </c:pt>
                <c:pt idx="936">
                  <c:v>1638.9749615397848</c:v>
                </c:pt>
                <c:pt idx="937">
                  <c:v>1638.9749615397848</c:v>
                </c:pt>
                <c:pt idx="938">
                  <c:v>1638.9749615397848</c:v>
                </c:pt>
                <c:pt idx="939">
                  <c:v>1638.9749615397848</c:v>
                </c:pt>
                <c:pt idx="940">
                  <c:v>1638.9749615397848</c:v>
                </c:pt>
                <c:pt idx="941">
                  <c:v>1638.9749615397848</c:v>
                </c:pt>
                <c:pt idx="942">
                  <c:v>1638.9749615397848</c:v>
                </c:pt>
                <c:pt idx="943">
                  <c:v>1638.9749615397848</c:v>
                </c:pt>
                <c:pt idx="944">
                  <c:v>1638.9749615397848</c:v>
                </c:pt>
                <c:pt idx="945">
                  <c:v>1638.9749615397848</c:v>
                </c:pt>
                <c:pt idx="946">
                  <c:v>1638.9749615397848</c:v>
                </c:pt>
                <c:pt idx="947">
                  <c:v>1638.9749615397848</c:v>
                </c:pt>
                <c:pt idx="948">
                  <c:v>1638.9749615397848</c:v>
                </c:pt>
                <c:pt idx="949">
                  <c:v>1638.9749615397848</c:v>
                </c:pt>
                <c:pt idx="950">
                  <c:v>1638.9749615397848</c:v>
                </c:pt>
                <c:pt idx="951">
                  <c:v>1638.9749615397848</c:v>
                </c:pt>
                <c:pt idx="952">
                  <c:v>1638.9749615397848</c:v>
                </c:pt>
                <c:pt idx="953">
                  <c:v>1638.9749615397848</c:v>
                </c:pt>
                <c:pt idx="954">
                  <c:v>1638.9749615397848</c:v>
                </c:pt>
                <c:pt idx="955">
                  <c:v>1638.9749615397848</c:v>
                </c:pt>
                <c:pt idx="956">
                  <c:v>1638.9749615397848</c:v>
                </c:pt>
                <c:pt idx="957">
                  <c:v>1638.9749615397848</c:v>
                </c:pt>
                <c:pt idx="958">
                  <c:v>1638.9749615397848</c:v>
                </c:pt>
                <c:pt idx="959">
                  <c:v>1638.9749615397848</c:v>
                </c:pt>
                <c:pt idx="960">
                  <c:v>1638.9749615397848</c:v>
                </c:pt>
                <c:pt idx="961">
                  <c:v>1638.9749615397848</c:v>
                </c:pt>
                <c:pt idx="962">
                  <c:v>1638.9749615397848</c:v>
                </c:pt>
                <c:pt idx="963">
                  <c:v>1638.9749615397848</c:v>
                </c:pt>
                <c:pt idx="964">
                  <c:v>1638.9749615397848</c:v>
                </c:pt>
                <c:pt idx="965">
                  <c:v>1638.9749615397848</c:v>
                </c:pt>
                <c:pt idx="966">
                  <c:v>1638.9749615397848</c:v>
                </c:pt>
                <c:pt idx="967">
                  <c:v>1638.9749615397848</c:v>
                </c:pt>
                <c:pt idx="968">
                  <c:v>1638.9749615397848</c:v>
                </c:pt>
                <c:pt idx="969">
                  <c:v>1638.9749615397848</c:v>
                </c:pt>
                <c:pt idx="970">
                  <c:v>1638.9749615397848</c:v>
                </c:pt>
                <c:pt idx="971">
                  <c:v>1638.9749615397848</c:v>
                </c:pt>
                <c:pt idx="972">
                  <c:v>1638.9749615397848</c:v>
                </c:pt>
                <c:pt idx="973">
                  <c:v>1638.9749615397848</c:v>
                </c:pt>
                <c:pt idx="974">
                  <c:v>1638.9749615397848</c:v>
                </c:pt>
                <c:pt idx="975">
                  <c:v>1638.9749615397848</c:v>
                </c:pt>
                <c:pt idx="976">
                  <c:v>1638.9749615397848</c:v>
                </c:pt>
                <c:pt idx="977">
                  <c:v>1638.9749615397848</c:v>
                </c:pt>
                <c:pt idx="978">
                  <c:v>1638.9749615397848</c:v>
                </c:pt>
                <c:pt idx="979">
                  <c:v>1638.9749615397848</c:v>
                </c:pt>
                <c:pt idx="980">
                  <c:v>1638.9749615397848</c:v>
                </c:pt>
                <c:pt idx="981">
                  <c:v>1638.9749615397848</c:v>
                </c:pt>
                <c:pt idx="982">
                  <c:v>1638.9749615397848</c:v>
                </c:pt>
                <c:pt idx="983">
                  <c:v>1638.9749615397848</c:v>
                </c:pt>
                <c:pt idx="984">
                  <c:v>1638.9749615397848</c:v>
                </c:pt>
                <c:pt idx="985">
                  <c:v>1638.9749615397848</c:v>
                </c:pt>
                <c:pt idx="986">
                  <c:v>1638.9749615397848</c:v>
                </c:pt>
                <c:pt idx="987">
                  <c:v>1638.9749615397848</c:v>
                </c:pt>
                <c:pt idx="988">
                  <c:v>1638.9749615397848</c:v>
                </c:pt>
                <c:pt idx="989">
                  <c:v>1638.9749615397848</c:v>
                </c:pt>
                <c:pt idx="990">
                  <c:v>1638.9749615397848</c:v>
                </c:pt>
                <c:pt idx="991">
                  <c:v>1638.9749615397848</c:v>
                </c:pt>
                <c:pt idx="992">
                  <c:v>1638.9749615397848</c:v>
                </c:pt>
                <c:pt idx="993">
                  <c:v>1638.9749615397848</c:v>
                </c:pt>
                <c:pt idx="994">
                  <c:v>1638.9749615397848</c:v>
                </c:pt>
                <c:pt idx="995">
                  <c:v>1638.9749615397848</c:v>
                </c:pt>
                <c:pt idx="996">
                  <c:v>1638.9749615397848</c:v>
                </c:pt>
                <c:pt idx="997">
                  <c:v>1638.9749615397848</c:v>
                </c:pt>
                <c:pt idx="998">
                  <c:v>1638.9749615397848</c:v>
                </c:pt>
                <c:pt idx="999">
                  <c:v>1638.9749615397848</c:v>
                </c:pt>
                <c:pt idx="1000">
                  <c:v>1638.9749615397848</c:v>
                </c:pt>
              </c:numCache>
            </c:numRef>
          </c:xVal>
          <c:yVal>
            <c:numRef>
              <c:f>Calculs!$AE$4:$AE$1004</c:f>
              <c:numCache>
                <c:formatCode>0</c:formatCode>
                <c:ptCount val="1001"/>
                <c:pt idx="0">
                  <c:v>0</c:v>
                </c:pt>
                <c:pt idx="1">
                  <c:v>2.6452165658300903E-4</c:v>
                </c:pt>
                <c:pt idx="2">
                  <c:v>1.8747213115951592E-3</c:v>
                </c:pt>
                <c:pt idx="3">
                  <c:v>5.9861442544103249E-3</c:v>
                </c:pt>
                <c:pt idx="4">
                  <c:v>1.3276817814292706E-2</c:v>
                </c:pt>
                <c:pt idx="5">
                  <c:v>2.4425215615250705E-2</c:v>
                </c:pt>
                <c:pt idx="6">
                  <c:v>4.0110325488383718E-2</c:v>
                </c:pt>
                <c:pt idx="7">
                  <c:v>6.1011717008833427E-2</c:v>
                </c:pt>
                <c:pt idx="8">
                  <c:v>8.780960867822267E-2</c:v>
                </c:pt>
                <c:pt idx="9">
                  <c:v>0.12118493477305489</c:v>
                </c:pt>
                <c:pt idx="10">
                  <c:v>0.16181941187915372</c:v>
                </c:pt>
                <c:pt idx="11">
                  <c:v>0.21020066472836854</c:v>
                </c:pt>
                <c:pt idx="12">
                  <c:v>0.26642697690046763</c:v>
                </c:pt>
                <c:pt idx="13">
                  <c:v>0.33040022988535855</c:v>
                </c:pt>
                <c:pt idx="14">
                  <c:v>0.40201918266339187</c:v>
                </c:pt>
                <c:pt idx="15">
                  <c:v>0.48118095439903419</c:v>
                </c:pt>
                <c:pt idx="16">
                  <c:v>0.56778250976729483</c:v>
                </c:pt>
                <c:pt idx="17">
                  <c:v>0.66172066136732088</c:v>
                </c:pt>
                <c:pt idx="18">
                  <c:v>0.76289207213410049</c:v>
                </c:pt>
                <c:pt idx="19">
                  <c:v>0.87119325774803302</c:v>
                </c:pt>
                <c:pt idx="20">
                  <c:v>0.98652058904212536</c:v>
                </c:pt>
                <c:pt idx="21">
                  <c:v>1.1087702944065749</c:v>
                </c:pt>
                <c:pt idx="22">
                  <c:v>1.2378384621905032</c:v>
                </c:pt>
                <c:pt idx="23">
                  <c:v>1.3736210431006013</c:v>
                </c:pt>
                <c:pt idx="24">
                  <c:v>1.5160138525964557</c:v>
                </c:pt>
                <c:pt idx="25">
                  <c:v>1.6649125732823176</c:v>
                </c:pt>
                <c:pt idx="26">
                  <c:v>1.8202127572950877</c:v>
                </c:pt>
                <c:pt idx="27">
                  <c:v>1.9818359875719997</c:v>
                </c:pt>
                <c:pt idx="28">
                  <c:v>2.1497560753556342</c:v>
                </c:pt>
                <c:pt idx="29">
                  <c:v>2.3239729563518665</c:v>
                </c:pt>
                <c:pt idx="30">
                  <c:v>2.5044865494497888</c:v>
                </c:pt>
                <c:pt idx="31">
                  <c:v>2.6912967567064605</c:v>
                </c:pt>
                <c:pt idx="32">
                  <c:v>2.8844034633318785</c:v>
                </c:pt>
                <c:pt idx="33">
                  <c:v>3.0838065376741701</c:v>
                </c:pt>
                <c:pt idx="34">
                  <c:v>3.2895058312050081</c:v>
                </c:pt>
                <c:pt idx="35">
                  <c:v>3.5015011785052468</c:v>
                </c:pt>
                <c:pt idx="36">
                  <c:v>3.719792397250782</c:v>
                </c:pt>
                <c:pt idx="37">
                  <c:v>3.9443792881986361</c:v>
                </c:pt>
                <c:pt idx="38">
                  <c:v>4.1752468393287172</c:v>
                </c:pt>
                <c:pt idx="39">
                  <c:v>4.4123795689231065</c:v>
                </c:pt>
                <c:pt idx="40">
                  <c:v>4.6557763237240888</c:v>
                </c:pt>
                <c:pt idx="41">
                  <c:v>4.905435943895438</c:v>
                </c:pt>
                <c:pt idx="42">
                  <c:v>5.1613572684116509</c:v>
                </c:pt>
                <c:pt idx="43">
                  <c:v>5.4235391343909862</c:v>
                </c:pt>
                <c:pt idx="44">
                  <c:v>5.6919803764712604</c:v>
                </c:pt>
                <c:pt idx="45">
                  <c:v>5.9666798262247145</c:v>
                </c:pt>
                <c:pt idx="46">
                  <c:v>6.24763631160865</c:v>
                </c:pt>
                <c:pt idx="47">
                  <c:v>6.5348486564488955</c:v>
                </c:pt>
                <c:pt idx="48">
                  <c:v>6.8283156799534481</c:v>
                </c:pt>
                <c:pt idx="49">
                  <c:v>7.1280361962539267</c:v>
                </c:pt>
                <c:pt idx="50">
                  <c:v>7.4340090139726867</c:v>
                </c:pt>
                <c:pt idx="51">
                  <c:v>7.7462329358136586</c:v>
                </c:pt>
                <c:pt idx="52">
                  <c:v>8.0647067581751717</c:v>
                </c:pt>
                <c:pt idx="53">
                  <c:v>8.3894292707831539</c:v>
                </c:pt>
                <c:pt idx="54">
                  <c:v>8.7203992563432813</c:v>
                </c:pt>
                <c:pt idx="55">
                  <c:v>9.0576154902107557</c:v>
                </c:pt>
                <c:pt idx="56">
                  <c:v>9.4010767400764976</c:v>
                </c:pt>
                <c:pt idx="57">
                  <c:v>9.7507817656686875</c:v>
                </c:pt>
                <c:pt idx="58">
                  <c:v>10.106729318468615</c:v>
                </c:pt>
                <c:pt idx="59">
                  <c:v>10.468918141439941</c:v>
                </c:pt>
                <c:pt idx="60">
                  <c:v>10.837346968770524</c:v>
                </c:pt>
                <c:pt idx="61">
                  <c:v>11.212014525626016</c:v>
                </c:pt>
                <c:pt idx="62">
                  <c:v>11.592919527914532</c:v>
                </c:pt>
                <c:pt idx="63">
                  <c:v>11.980060682061726</c:v>
                </c:pt>
                <c:pt idx="64">
                  <c:v>12.373436684795646</c:v>
                </c:pt>
                <c:pt idx="65">
                  <c:v>12.773046222940831</c:v>
                </c:pt>
                <c:pt idx="66">
                  <c:v>13.17888797322111</c:v>
                </c:pt>
                <c:pt idx="67">
                  <c:v>13.590960602070622</c:v>
                </c:pt>
                <c:pt idx="68">
                  <c:v>14.009262765452601</c:v>
                </c:pt>
                <c:pt idx="69">
                  <c:v>14.433793108685522</c:v>
                </c:pt>
                <c:pt idx="70">
                  <c:v>14.864550266276204</c:v>
                </c:pt>
                <c:pt idx="71">
                  <c:v>15.30153286175951</c:v>
                </c:pt>
                <c:pt idx="72">
                  <c:v>15.74473921039629</c:v>
                </c:pt>
                <c:pt idx="73">
                  <c:v>16.1941670215645</c:v>
                </c:pt>
                <c:pt idx="74">
                  <c:v>16.64981369531241</c:v>
                </c:pt>
                <c:pt idx="75">
                  <c:v>17.111676619232473</c:v>
                </c:pt>
                <c:pt idx="76">
                  <c:v>17.579753168334534</c:v>
                </c:pt>
                <c:pt idx="77">
                  <c:v>18.054040704924116</c:v>
                </c:pt>
                <c:pt idx="78">
                  <c:v>18.534536578485511</c:v>
                </c:pt>
                <c:pt idx="79">
                  <c:v>19.021238125569482</c:v>
                </c:pt>
                <c:pt idx="80">
                  <c:v>19.514142669685356</c:v>
                </c:pt>
                <c:pt idx="81">
                  <c:v>20.013247521197304</c:v>
                </c:pt>
                <c:pt idx="82">
                  <c:v>20.518549977224648</c:v>
                </c:pt>
                <c:pt idx="83">
                  <c:v>21.030047321545993</c:v>
                </c:pt>
                <c:pt idx="84">
                  <c:v>21.547736824507041</c:v>
                </c:pt>
                <c:pt idx="85">
                  <c:v>22.071615742931925</c:v>
                </c:pt>
                <c:pt idx="86">
                  <c:v>22.601681320037926</c:v>
                </c:pt>
                <c:pt idx="87">
                  <c:v>23.137930785353412</c:v>
                </c:pt>
                <c:pt idx="88">
                  <c:v>23.680361354638897</c:v>
                </c:pt>
                <c:pt idx="89">
                  <c:v>24.228970229811086</c:v>
                </c:pt>
                <c:pt idx="90">
                  <c:v>24.783754598869791</c:v>
                </c:pt>
                <c:pt idx="91">
                  <c:v>25.344711635827593</c:v>
                </c:pt>
                <c:pt idx="92">
                  <c:v>25.911838500642183</c:v>
                </c:pt>
                <c:pt idx="93">
                  <c:v>26.485132339151235</c:v>
                </c:pt>
                <c:pt idx="94">
                  <c:v>27.064590283009771</c:v>
                </c:pt>
                <c:pt idx="95">
                  <c:v>27.650209449629873</c:v>
                </c:pt>
                <c:pt idx="96">
                  <c:v>28.241986942122701</c:v>
                </c:pt>
                <c:pt idx="97">
                  <c:v>28.839919849242715</c:v>
                </c:pt>
                <c:pt idx="98">
                  <c:v>29.444005245334044</c:v>
                </c:pt>
                <c:pt idx="99">
                  <c:v>30.054240190278886</c:v>
                </c:pt>
                <c:pt idx="100">
                  <c:v>30.670621729447941</c:v>
                </c:pt>
                <c:pt idx="101">
                  <c:v>31.293146893652736</c:v>
                </c:pt>
                <c:pt idx="102">
                  <c:v>31.921812699099831</c:v>
                </c:pt>
                <c:pt idx="103">
                  <c:v>32.556616147346823</c:v>
                </c:pt>
                <c:pt idx="104">
                  <c:v>33.197554225260106</c:v>
                </c:pt>
                <c:pt idx="105">
                  <c:v>33.844623904974306</c:v>
                </c:pt>
                <c:pt idx="106">
                  <c:v>34.497822143853369</c:v>
                </c:pt>
                <c:pt idx="107">
                  <c:v>35.157145884453257</c:v>
                </c:pt>
                <c:pt idx="108">
                  <c:v>35.822592054486151</c:v>
                </c:pt>
                <c:pt idx="109">
                  <c:v>36.494157566786164</c:v>
                </c:pt>
                <c:pt idx="110">
                  <c:v>37.171839319276536</c:v>
                </c:pt>
                <c:pt idx="111">
                  <c:v>37.855634194938219</c:v>
                </c:pt>
                <c:pt idx="112">
                  <c:v>38.54553906177982</c:v>
                </c:pt>
                <c:pt idx="113">
                  <c:v>39.241550772808921</c:v>
                </c:pt>
                <c:pt idx="114">
                  <c:v>39.943666166004668</c:v>
                </c:pt>
                <c:pt idx="115">
                  <c:v>40.651882064291641</c:v>
                </c:pt>
                <c:pt idx="116">
                  <c:v>41.366195275514919</c:v>
                </c:pt>
                <c:pt idx="117">
                  <c:v>42.086602592416405</c:v>
                </c:pt>
                <c:pt idx="118">
                  <c:v>42.813100792612275</c:v>
                </c:pt>
                <c:pt idx="119">
                  <c:v>43.54568663857156</c:v>
                </c:pt>
                <c:pt idx="120">
                  <c:v>44.284356877595876</c:v>
                </c:pt>
                <c:pt idx="121">
                  <c:v>45.029108241800195</c:v>
                </c:pt>
                <c:pt idx="122">
                  <c:v>45.779937448094699</c:v>
                </c:pt>
                <c:pt idx="123">
                  <c:v>46.536841198167657</c:v>
                </c:pt>
                <c:pt idx="124">
                  <c:v>47.299816178469307</c:v>
                </c:pt>
                <c:pt idx="125">
                  <c:v>48.068859060196708</c:v>
                </c:pt>
                <c:pt idx="126">
                  <c:v>48.843966499279595</c:v>
                </c:pt>
                <c:pt idx="127">
                  <c:v>49.62513513636712</c:v>
                </c:pt>
                <c:pt idx="128">
                  <c:v>50.412361596815529</c:v>
                </c:pt>
                <c:pt idx="129">
                  <c:v>51.205641130075634</c:v>
                </c:pt>
                <c:pt idx="130">
                  <c:v>52.004966247768643</c:v>
                </c:pt>
                <c:pt idx="131">
                  <c:v>52.810328082516584</c:v>
                </c:pt>
                <c:pt idx="132">
                  <c:v>53.621717748106796</c:v>
                </c:pt>
                <c:pt idx="133">
                  <c:v>54.439126339525743</c:v>
                </c:pt>
                <c:pt idx="134">
                  <c:v>55.262544932993777</c:v>
                </c:pt>
                <c:pt idx="135">
                  <c:v>56.091964586000927</c:v>
                </c:pt>
                <c:pt idx="136">
                  <c:v>56.927376337343617</c:v>
                </c:pt>
                <c:pt idx="137">
                  <c:v>57.768771207162288</c:v>
                </c:pt>
                <c:pt idx="138">
                  <c:v>58.616140196979977</c:v>
                </c:pt>
                <c:pt idx="139">
                  <c:v>59.46947428974174</c:v>
                </c:pt>
                <c:pt idx="140">
                  <c:v>60.328764449854958</c:v>
                </c:pt>
                <c:pt idx="141">
                  <c:v>61.194001623230506</c:v>
                </c:pt>
                <c:pt idx="142">
                  <c:v>62.06517673732472</c:v>
                </c:pt>
                <c:pt idx="143">
                  <c:v>62.942280701182206</c:v>
                </c:pt>
                <c:pt idx="144">
                  <c:v>63.825304405479422</c:v>
                </c:pt>
                <c:pt idx="145">
                  <c:v>64.71423872256905</c:v>
                </c:pt>
                <c:pt idx="146">
                  <c:v>65.609074506525104</c:v>
                </c:pt>
                <c:pt idx="147">
                  <c:v>66.509802593188823</c:v>
                </c:pt>
                <c:pt idx="148">
                  <c:v>67.416413800215238</c:v>
                </c:pt>
                <c:pt idx="149">
                  <c:v>68.328898927120534</c:v>
                </c:pt>
                <c:pt idx="150">
                  <c:v>69.247248755330006</c:v>
                </c:pt>
                <c:pt idx="151">
                  <c:v>70.171454048226764</c:v>
                </c:pt>
                <c:pt idx="152">
                  <c:v>71.101505551201114</c:v>
                </c:pt>
                <c:pt idx="153">
                  <c:v>72.037393991700569</c:v>
                </c:pt>
                <c:pt idx="154">
                  <c:v>72.979110079280517</c:v>
                </c:pt>
                <c:pt idx="155">
                  <c:v>73.926644505655489</c:v>
                </c:pt>
                <c:pt idx="156">
                  <c:v>74.879987944751093</c:v>
                </c:pt>
                <c:pt idx="157">
                  <c:v>75.839131052756542</c:v>
                </c:pt>
                <c:pt idx="158">
                  <c:v>76.804064468177742</c:v>
                </c:pt>
                <c:pt idx="159">
                  <c:v>77.774778811890997</c:v>
                </c:pt>
                <c:pt idx="160">
                  <c:v>78.751264687197249</c:v>
                </c:pt>
                <c:pt idx="161">
                  <c:v>79.733512679876952</c:v>
                </c:pt>
                <c:pt idx="162">
                  <c:v>80.721513358245417</c:v>
                </c:pt>
                <c:pt idx="163">
                  <c:v>81.715257273208707</c:v>
                </c:pt>
                <c:pt idx="164">
                  <c:v>82.714734958320108</c:v>
                </c:pt>
                <c:pt idx="165">
                  <c:v>83.719936929837061</c:v>
                </c:pt>
                <c:pt idx="166">
                  <c:v>84.730853686778673</c:v>
                </c:pt>
                <c:pt idx="167">
                  <c:v>85.74747571098365</c:v>
                </c:pt>
                <c:pt idx="168">
                  <c:v>86.769793467168739</c:v>
                </c:pt>
                <c:pt idx="169">
                  <c:v>87.797797402987726</c:v>
                </c:pt>
                <c:pt idx="170">
                  <c:v>88.831477949090768</c:v>
                </c:pt>
                <c:pt idx="171">
                  <c:v>89.870825519184336</c:v>
                </c:pt>
                <c:pt idx="172">
                  <c:v>90.915830510091496</c:v>
                </c:pt>
                <c:pt idx="173">
                  <c:v>91.966483301812701</c:v>
                </c:pt>
                <c:pt idx="174">
                  <c:v>93.022774257586988</c:v>
                </c:pt>
                <c:pt idx="175">
                  <c:v>94.084693723953635</c:v>
                </c:pt>
                <c:pt idx="176">
                  <c:v>95.152232030814204</c:v>
                </c:pt>
                <c:pt idx="177">
                  <c:v>96.225379491495033</c:v>
                </c:pt>
                <c:pt idx="178">
                  <c:v>97.304126402810084</c:v>
                </c:pt>
                <c:pt idx="179">
                  <c:v>98.388463045124269</c:v>
                </c:pt>
                <c:pt idx="180">
                  <c:v>99.478379682417099</c:v>
                </c:pt>
                <c:pt idx="181">
                  <c:v>100.57386656234674</c:v>
                </c:pt>
                <c:pt idx="182">
                  <c:v>101.67491391631442</c:v>
                </c:pt>
                <c:pt idx="183">
                  <c:v>102.78151195952928</c:v>
                </c:pt>
                <c:pt idx="184">
                  <c:v>103.89365089107352</c:v>
                </c:pt>
                <c:pt idx="185">
                  <c:v>105.01132089396792</c:v>
                </c:pt>
                <c:pt idx="186">
                  <c:v>106.13451213523769</c:v>
                </c:pt>
                <c:pt idx="187">
                  <c:v>107.26321476597873</c:v>
                </c:pt>
                <c:pt idx="188">
                  <c:v>108.39741892142416</c:v>
                </c:pt>
                <c:pt idx="189">
                  <c:v>109.53711472101122</c:v>
                </c:pt>
                <c:pt idx="190">
                  <c:v>110.68229226844845</c:v>
                </c:pt>
                <c:pt idx="191">
                  <c:v>111.83294165178324</c:v>
                </c:pt>
                <c:pt idx="192">
                  <c:v>112.9890529434697</c:v>
                </c:pt>
                <c:pt idx="193">
                  <c:v>114.15061620043674</c:v>
                </c:pt>
                <c:pt idx="194">
                  <c:v>115.31762146415659</c:v>
                </c:pt>
                <c:pt idx="195">
                  <c:v>116.49005876071348</c:v>
                </c:pt>
                <c:pt idx="196">
                  <c:v>117.66791810087275</c:v>
                </c:pt>
                <c:pt idx="197">
                  <c:v>118.85118948015013</c:v>
                </c:pt>
                <c:pt idx="198">
                  <c:v>120.03986287888128</c:v>
                </c:pt>
                <c:pt idx="199">
                  <c:v>121.2339282622918</c:v>
                </c:pt>
                <c:pt idx="200">
                  <c:v>122.43337558056723</c:v>
                </c:pt>
                <c:pt idx="201">
                  <c:v>123.63819476892355</c:v>
                </c:pt>
                <c:pt idx="202">
                  <c:v>124.84837574767781</c:v>
                </c:pt>
                <c:pt idx="203">
                  <c:v>126.06390842231899</c:v>
                </c:pt>
                <c:pt idx="204">
                  <c:v>127.28478268357927</c:v>
                </c:pt>
                <c:pt idx="205">
                  <c:v>128.51098840750535</c:v>
                </c:pt>
                <c:pt idx="206">
                  <c:v>129.74251512626549</c:v>
                </c:pt>
                <c:pt idx="207">
                  <c:v>130.97935169872864</c:v>
                </c:pt>
                <c:pt idx="208">
                  <c:v>132.22148663954596</c:v>
                </c:pt>
                <c:pt idx="209">
                  <c:v>133.46890844846675</c:v>
                </c:pt>
                <c:pt idx="210">
                  <c:v>134.7216056104229</c:v>
                </c:pt>
                <c:pt idx="211">
                  <c:v>135.97956659561365</c:v>
                </c:pt>
                <c:pt idx="212">
                  <c:v>137.24277985959051</c:v>
                </c:pt>
                <c:pt idx="213">
                  <c:v>138.51123384334235</c:v>
                </c:pt>
                <c:pt idx="214">
                  <c:v>139.78491697338069</c:v>
                </c:pt>
                <c:pt idx="215">
                  <c:v>141.0638176618252</c:v>
                </c:pt>
                <c:pt idx="216">
                  <c:v>142.34792430648938</c:v>
                </c:pt>
                <c:pt idx="217">
                  <c:v>143.63722529096634</c:v>
                </c:pt>
                <c:pt idx="218">
                  <c:v>144.93170898471493</c:v>
                </c:pt>
                <c:pt idx="219">
                  <c:v>146.23136374314575</c:v>
                </c:pt>
                <c:pt idx="220">
                  <c:v>147.53617790770755</c:v>
                </c:pt>
                <c:pt idx="221">
                  <c:v>148.84613980597379</c:v>
                </c:pt>
                <c:pt idx="222">
                  <c:v>150.16123775172917</c:v>
                </c:pt>
                <c:pt idx="223">
                  <c:v>151.48146004505645</c:v>
                </c:pt>
                <c:pt idx="224">
                  <c:v>152.80679497242335</c:v>
                </c:pt>
                <c:pt idx="225">
                  <c:v>154.13723080676965</c:v>
                </c:pt>
                <c:pt idx="226">
                  <c:v>155.47275580759438</c:v>
                </c:pt>
                <c:pt idx="227">
                  <c:v>156.81335822104313</c:v>
                </c:pt>
                <c:pt idx="228">
                  <c:v>158.15902627999543</c:v>
                </c:pt>
                <c:pt idx="229">
                  <c:v>159.5097482041524</c:v>
                </c:pt>
                <c:pt idx="230">
                  <c:v>160.86551220012439</c:v>
                </c:pt>
                <c:pt idx="231">
                  <c:v>162.22630646151876</c:v>
                </c:pt>
                <c:pt idx="232">
                  <c:v>163.5921191690278</c:v>
                </c:pt>
                <c:pt idx="233">
                  <c:v>164.96293849051671</c:v>
                </c:pt>
                <c:pt idx="234">
                  <c:v>166.33875258111166</c:v>
                </c:pt>
                <c:pt idx="235">
                  <c:v>167.71954958328806</c:v>
                </c:pt>
                <c:pt idx="236">
                  <c:v>169.10531762695871</c:v>
                </c:pt>
                <c:pt idx="237">
                  <c:v>170.49604482956232</c:v>
                </c:pt>
                <c:pt idx="238">
                  <c:v>171.89171929615185</c:v>
                </c:pt>
                <c:pt idx="239">
                  <c:v>173.29232911948304</c:v>
                </c:pt>
                <c:pt idx="240">
                  <c:v>174.69786238010306</c:v>
                </c:pt>
                <c:pt idx="241">
                  <c:v>176.1083071464391</c:v>
                </c:pt>
                <c:pt idx="242">
                  <c:v>177.52365033978674</c:v>
                </c:pt>
                <c:pt idx="243">
                  <c:v>178.94387659867462</c:v>
                </c:pt>
                <c:pt idx="244">
                  <c:v>180.36896941347234</c:v>
                </c:pt>
                <c:pt idx="245">
                  <c:v>181.79891226164392</c:v>
                </c:pt>
                <c:pt idx="246">
                  <c:v>183.23368860788108</c:v>
                </c:pt>
                <c:pt idx="247">
                  <c:v>184.6732819042364</c:v>
                </c:pt>
                <c:pt idx="248">
                  <c:v>186.11767559025643</c:v>
                </c:pt>
                <c:pt idx="249">
                  <c:v>187.56685309311473</c:v>
                </c:pt>
                <c:pt idx="250">
                  <c:v>189.0207978277449</c:v>
                </c:pt>
                <c:pt idx="251">
                  <c:v>190.47949319697344</c:v>
                </c:pt>
                <c:pt idx="252">
                  <c:v>191.94292259165258</c:v>
                </c:pt>
                <c:pt idx="253">
                  <c:v>193.41106939079299</c:v>
                </c:pt>
                <c:pt idx="254">
                  <c:v>194.88391696169643</c:v>
                </c:pt>
                <c:pt idx="255">
                  <c:v>196.36144866008826</c:v>
                </c:pt>
                <c:pt idx="256">
                  <c:v>197.84364783024986</c:v>
                </c:pt>
                <c:pt idx="257">
                  <c:v>199.330497805151</c:v>
                </c:pt>
                <c:pt idx="258">
                  <c:v>200.82198190658195</c:v>
                </c:pt>
                <c:pt idx="259">
                  <c:v>202.31808344528565</c:v>
                </c:pt>
                <c:pt idx="260">
                  <c:v>203.8187857210896</c:v>
                </c:pt>
                <c:pt idx="261">
                  <c:v>205.3240720230377</c:v>
                </c:pt>
                <c:pt idx="262">
                  <c:v>206.83392562952199</c:v>
                </c:pt>
                <c:pt idx="263">
                  <c:v>208.34832980841406</c:v>
                </c:pt>
                <c:pt idx="264">
                  <c:v>209.86726781719665</c:v>
                </c:pt>
                <c:pt idx="265">
                  <c:v>211.39072290309468</c:v>
                </c:pt>
                <c:pt idx="266">
                  <c:v>212.91867830320658</c:v>
                </c:pt>
                <c:pt idx="267">
                  <c:v>214.45111724463501</c:v>
                </c:pt>
                <c:pt idx="268">
                  <c:v>215.9880229446178</c:v>
                </c:pt>
                <c:pt idx="269">
                  <c:v>217.52937861065845</c:v>
                </c:pt>
                <c:pt idx="270">
                  <c:v>219.07516744065666</c:v>
                </c:pt>
                <c:pt idx="271">
                  <c:v>220.62537262303846</c:v>
                </c:pt>
                <c:pt idx="272">
                  <c:v>222.1799773368864</c:v>
                </c:pt>
                <c:pt idx="273">
                  <c:v>223.73896475206939</c:v>
                </c:pt>
                <c:pt idx="274">
                  <c:v>225.30231802937243</c:v>
                </c:pt>
                <c:pt idx="275">
                  <c:v>226.87002032062603</c:v>
                </c:pt>
                <c:pt idx="276">
                  <c:v>228.44205476883556</c:v>
                </c:pt>
                <c:pt idx="277">
                  <c:v>230.0184045083104</c:v>
                </c:pt>
                <c:pt idx="278">
                  <c:v>231.59905266479277</c:v>
                </c:pt>
                <c:pt idx="279">
                  <c:v>233.18398235558641</c:v>
                </c:pt>
                <c:pt idx="280">
                  <c:v>234.77317668968504</c:v>
                </c:pt>
                <c:pt idx="281">
                  <c:v>236.36661876790069</c:v>
                </c:pt>
                <c:pt idx="282">
                  <c:v>237.96429168299159</c:v>
                </c:pt>
                <c:pt idx="283">
                  <c:v>239.56617851979001</c:v>
                </c:pt>
                <c:pt idx="284">
                  <c:v>241.17226368396624</c:v>
                </c:pt>
                <c:pt idx="285">
                  <c:v>242.78253423125224</c:v>
                </c:pt>
                <c:pt idx="286">
                  <c:v>244.39697853914555</c:v>
                </c:pt>
                <c:pt idx="287">
                  <c:v>246.01558497812849</c:v>
                </c:pt>
                <c:pt idx="288">
                  <c:v>247.63834191174709</c:v>
                </c:pt>
                <c:pt idx="289">
                  <c:v>249.26523769668998</c:v>
                </c:pt>
                <c:pt idx="290">
                  <c:v>250.89626068286705</c:v>
                </c:pt>
                <c:pt idx="291">
                  <c:v>252.53139921348813</c:v>
                </c:pt>
                <c:pt idx="292">
                  <c:v>254.17064162514157</c:v>
                </c:pt>
                <c:pt idx="293">
                  <c:v>255.81397624787272</c:v>
                </c:pt>
                <c:pt idx="294">
                  <c:v>257.46139140526225</c:v>
                </c:pt>
                <c:pt idx="295">
                  <c:v>259.11287541450451</c:v>
                </c:pt>
                <c:pt idx="296">
                  <c:v>260.76841658648567</c:v>
                </c:pt>
                <c:pt idx="297">
                  <c:v>262.4280032258618</c:v>
                </c:pt>
                <c:pt idx="298">
                  <c:v>264.09162363113694</c:v>
                </c:pt>
                <c:pt idx="299">
                  <c:v>265.75926609474089</c:v>
                </c:pt>
                <c:pt idx="300">
                  <c:v>267.430918903107</c:v>
                </c:pt>
                <c:pt idx="301">
                  <c:v>269.10657033674994</c:v>
                </c:pt>
                <c:pt idx="302">
                  <c:v>270.78620867034311</c:v>
                </c:pt>
                <c:pt idx="303">
                  <c:v>272.46982217279623</c:v>
                </c:pt>
                <c:pt idx="304">
                  <c:v>274.15739910733254</c:v>
                </c:pt>
                <c:pt idx="305">
                  <c:v>275.84892773156616</c:v>
                </c:pt>
                <c:pt idx="306">
                  <c:v>277.54439629757923</c:v>
                </c:pt>
                <c:pt idx="307">
                  <c:v>279.24379305199864</c:v>
                </c:pt>
                <c:pt idx="308">
                  <c:v>280.94710623607318</c:v>
                </c:pt>
                <c:pt idx="309">
                  <c:v>282.65432408575009</c:v>
                </c:pt>
                <c:pt idx="310">
                  <c:v>284.36543483175183</c:v>
                </c:pt>
                <c:pt idx="311">
                  <c:v>286.08042669965243</c:v>
                </c:pt>
                <c:pt idx="312">
                  <c:v>287.79928790995405</c:v>
                </c:pt>
                <c:pt idx="313">
                  <c:v>289.522006678163</c:v>
                </c:pt>
                <c:pt idx="314">
                  <c:v>291.24857121486593</c:v>
                </c:pt>
                <c:pt idx="315">
                  <c:v>292.97896972580583</c:v>
                </c:pt>
                <c:pt idx="316">
                  <c:v>294.7131904119579</c:v>
                </c:pt>
                <c:pt idx="317">
                  <c:v>296.45122146960512</c:v>
                </c:pt>
                <c:pt idx="318">
                  <c:v>298.19305109041386</c:v>
                </c:pt>
                <c:pt idx="319">
                  <c:v>299.93866746150945</c:v>
                </c:pt>
                <c:pt idx="320">
                  <c:v>301.6880587655512</c:v>
                </c:pt>
                <c:pt idx="321">
                  <c:v>303.44121318080778</c:v>
                </c:pt>
                <c:pt idx="322">
                  <c:v>305.19811888123195</c:v>
                </c:pt>
                <c:pt idx="323">
                  <c:v>306.95876403653568</c:v>
                </c:pt>
                <c:pt idx="324">
                  <c:v>308.72313681226461</c:v>
                </c:pt>
                <c:pt idx="325">
                  <c:v>310.49122536987278</c:v>
                </c:pt>
                <c:pt idx="326">
                  <c:v>312.26301794817738</c:v>
                </c:pt>
                <c:pt idx="327">
                  <c:v>314.03850294482965</c:v>
                </c:pt>
                <c:pt idx="328">
                  <c:v>315.81766883499949</c:v>
                </c:pt>
                <c:pt idx="329">
                  <c:v>317.60050409004316</c:v>
                </c:pt>
                <c:pt idx="330">
                  <c:v>319.38699717757447</c:v>
                </c:pt>
                <c:pt idx="331">
                  <c:v>321.17713656153592</c:v>
                </c:pt>
                <c:pt idx="332">
                  <c:v>322.97091070226986</c:v>
                </c:pt>
                <c:pt idx="333">
                  <c:v>324.76830805658915</c:v>
                </c:pt>
                <c:pt idx="334">
                  <c:v>326.56931707784804</c:v>
                </c:pt>
                <c:pt idx="335">
                  <c:v>328.37392621601259</c:v>
                </c:pt>
                <c:pt idx="336">
                  <c:v>330.18212391773108</c:v>
                </c:pt>
                <c:pt idx="337">
                  <c:v>331.99389862640425</c:v>
                </c:pt>
                <c:pt idx="338">
                  <c:v>333.80923878225536</c:v>
                </c:pt>
                <c:pt idx="339">
                  <c:v>335.62813282240023</c:v>
                </c:pt>
                <c:pt idx="340">
                  <c:v>337.45056918091677</c:v>
                </c:pt>
                <c:pt idx="341">
                  <c:v>339.27653628891471</c:v>
                </c:pt>
                <c:pt idx="342">
                  <c:v>341.10602257460494</c:v>
                </c:pt>
                <c:pt idx="343">
                  <c:v>342.93901646336877</c:v>
                </c:pt>
                <c:pt idx="344">
                  <c:v>344.77550637782707</c:v>
                </c:pt>
                <c:pt idx="345">
                  <c:v>346.61548073790919</c:v>
                </c:pt>
                <c:pt idx="346">
                  <c:v>348.45892796092164</c:v>
                </c:pt>
                <c:pt idx="347">
                  <c:v>350.30583646161665</c:v>
                </c:pt>
                <c:pt idx="348">
                  <c:v>352.15619465226058</c:v>
                </c:pt>
                <c:pt idx="349">
                  <c:v>354.0099909427023</c:v>
                </c:pt>
                <c:pt idx="350">
                  <c:v>355.867213740441</c:v>
                </c:pt>
                <c:pt idx="351">
                  <c:v>357.72785145069423</c:v>
                </c:pt>
                <c:pt idx="352">
                  <c:v>359.59189247646555</c:v>
                </c:pt>
                <c:pt idx="353">
                  <c:v>361.45932521861204</c:v>
                </c:pt>
                <c:pt idx="354">
                  <c:v>363.33013807591158</c:v>
                </c:pt>
                <c:pt idx="355">
                  <c:v>365.20431944513012</c:v>
                </c:pt>
                <c:pt idx="356">
                  <c:v>367.08185772108862</c:v>
                </c:pt>
                <c:pt idx="357">
                  <c:v>368.96274129672975</c:v>
                </c:pt>
                <c:pt idx="358">
                  <c:v>370.84695856318461</c:v>
                </c:pt>
                <c:pt idx="359">
                  <c:v>372.73449790983915</c:v>
                </c:pt>
                <c:pt idx="360">
                  <c:v>374.62534772440029</c:v>
                </c:pt>
                <c:pt idx="361">
                  <c:v>376.51949639296203</c:v>
                </c:pt>
                <c:pt idx="362">
                  <c:v>378.41693230007138</c:v>
                </c:pt>
                <c:pt idx="363">
                  <c:v>380.31764382879396</c:v>
                </c:pt>
                <c:pt idx="364">
                  <c:v>382.22161936077941</c:v>
                </c:pt>
                <c:pt idx="365">
                  <c:v>384.12884727632678</c:v>
                </c:pt>
                <c:pt idx="366">
                  <c:v>386.03931801186673</c:v>
                </c:pt>
                <c:pt idx="367">
                  <c:v>387.95302611756597</c:v>
                </c:pt>
                <c:pt idx="368">
                  <c:v>389.86996819926765</c:v>
                </c:pt>
                <c:pt idx="369">
                  <c:v>391.79014086028548</c:v>
                </c:pt>
                <c:pt idx="370">
                  <c:v>393.71354070142161</c:v>
                </c:pt>
                <c:pt idx="371">
                  <c:v>395.64016432098452</c:v>
                </c:pt>
                <c:pt idx="372">
                  <c:v>397.57000831480684</c:v>
                </c:pt>
                <c:pt idx="373">
                  <c:v>399.5030692762632</c:v>
                </c:pt>
                <c:pt idx="374">
                  <c:v>401.43934379628814</c:v>
                </c:pt>
                <c:pt idx="375">
                  <c:v>403.3788284633938</c:v>
                </c:pt>
                <c:pt idx="376">
                  <c:v>405.32151986368785</c:v>
                </c:pt>
                <c:pt idx="377">
                  <c:v>407.26741458089123</c:v>
                </c:pt>
                <c:pt idx="378">
                  <c:v>409.21650919635601</c:v>
                </c:pt>
                <c:pt idx="379">
                  <c:v>411.16880028908321</c:v>
                </c:pt>
                <c:pt idx="380">
                  <c:v>413.12428443574049</c:v>
                </c:pt>
                <c:pt idx="381">
                  <c:v>415.0829559923427</c:v>
                </c:pt>
                <c:pt idx="382">
                  <c:v>417.04480487585607</c:v>
                </c:pt>
                <c:pt idx="383">
                  <c:v>419.00981878342748</c:v>
                </c:pt>
                <c:pt idx="384">
                  <c:v>420.97798541171511</c:v>
                </c:pt>
                <c:pt idx="385">
                  <c:v>422.94929245695658</c:v>
                </c:pt>
                <c:pt idx="386">
                  <c:v>424.92372761503646</c:v>
                </c:pt>
                <c:pt idx="387">
                  <c:v>426.90127858155398</c:v>
                </c:pt>
                <c:pt idx="388">
                  <c:v>428.88193305189014</c:v>
                </c:pt>
                <c:pt idx="389">
                  <c:v>430.86567872127489</c:v>
                </c:pt>
                <c:pt idx="390">
                  <c:v>432.85250328485381</c:v>
                </c:pt>
                <c:pt idx="391">
                  <c:v>434.84239443775476</c:v>
                </c:pt>
                <c:pt idx="392">
                  <c:v>436.8353398751542</c:v>
                </c:pt>
                <c:pt idx="393">
                  <c:v>438.8313272923433</c:v>
                </c:pt>
                <c:pt idx="394">
                  <c:v>440.83034438479376</c:v>
                </c:pt>
                <c:pt idx="395">
                  <c:v>442.83237884822353</c:v>
                </c:pt>
                <c:pt idx="396">
                  <c:v>444.83741837866211</c:v>
                </c:pt>
                <c:pt idx="397">
                  <c:v>446.84545067251565</c:v>
                </c:pt>
                <c:pt idx="398">
                  <c:v>448.85646342663205</c:v>
                </c:pt>
                <c:pt idx="399">
                  <c:v>450.87044433836542</c:v>
                </c:pt>
                <c:pt idx="400">
                  <c:v>452.8873811056406</c:v>
                </c:pt>
                <c:pt idx="401">
                  <c:v>454.90725968822932</c:v>
                </c:pt>
                <c:pt idx="402">
                  <c:v>456.93006256909257</c:v>
                </c:pt>
                <c:pt idx="403">
                  <c:v>458.95577049414044</c:v>
                </c:pt>
                <c:pt idx="404">
                  <c:v>460.98436421195134</c:v>
                </c:pt>
                <c:pt idx="405">
                  <c:v>463.01582447388915</c:v>
                </c:pt>
                <c:pt idx="406">
                  <c:v>465.05013203421964</c:v>
                </c:pt>
                <c:pt idx="407">
                  <c:v>467.08726765022607</c:v>
                </c:pt>
                <c:pt idx="408">
                  <c:v>469.12721208232455</c:v>
                </c:pt>
                <c:pt idx="409">
                  <c:v>471.16994609417878</c:v>
                </c:pt>
                <c:pt idx="410">
                  <c:v>473.21545045281391</c:v>
                </c:pt>
                <c:pt idx="411">
                  <c:v>475.26369633858195</c:v>
                </c:pt>
                <c:pt idx="412">
                  <c:v>477.31463575605761</c:v>
                </c:pt>
                <c:pt idx="413">
                  <c:v>479.36821113031192</c:v>
                </c:pt>
                <c:pt idx="414">
                  <c:v>481.42436490253147</c:v>
                </c:pt>
                <c:pt idx="415">
                  <c:v>483.48303953068074</c:v>
                </c:pt>
                <c:pt idx="416">
                  <c:v>485.54417749015965</c:v>
                </c:pt>
                <c:pt idx="417">
                  <c:v>487.60772127445665</c:v>
                </c:pt>
                <c:pt idx="418">
                  <c:v>489.67361339579639</c:v>
                </c:pt>
                <c:pt idx="419">
                  <c:v>491.74179638578323</c:v>
                </c:pt>
                <c:pt idx="420">
                  <c:v>493.8122073494377</c:v>
                </c:pt>
                <c:pt idx="421">
                  <c:v>495.88477252045203</c:v>
                </c:pt>
                <c:pt idx="422">
                  <c:v>497.95941271297528</c:v>
                </c:pt>
                <c:pt idx="423">
                  <c:v>500.03604877241941</c:v>
                </c:pt>
                <c:pt idx="424">
                  <c:v>502.11460157657513</c:v>
                </c:pt>
                <c:pt idx="425">
                  <c:v>504.19499203671876</c:v>
                </c:pt>
                <c:pt idx="426">
                  <c:v>506.27714109870954</c:v>
                </c:pt>
                <c:pt idx="427">
                  <c:v>508.36096974407781</c:v>
                </c:pt>
                <c:pt idx="428">
                  <c:v>510.4463989911041</c:v>
                </c:pt>
                <c:pt idx="429">
                  <c:v>512.53334989588848</c:v>
                </c:pt>
                <c:pt idx="430">
                  <c:v>514.62174355341108</c:v>
                </c:pt>
                <c:pt idx="431">
                  <c:v>516.71150109858274</c:v>
                </c:pt>
                <c:pt idx="432">
                  <c:v>518.80253494759711</c:v>
                </c:pt>
                <c:pt idx="433">
                  <c:v>520.89474004312854</c:v>
                </c:pt>
                <c:pt idx="434">
                  <c:v>522.98800262533712</c:v>
                </c:pt>
                <c:pt idx="435">
                  <c:v>525.08220899953869</c:v>
                </c:pt>
                <c:pt idx="436">
                  <c:v>527.17724553826235</c:v>
                </c:pt>
                <c:pt idx="437">
                  <c:v>529.27299868328885</c:v>
                </c:pt>
                <c:pt idx="438">
                  <c:v>531.3693549476684</c:v>
                </c:pt>
                <c:pt idx="439">
                  <c:v>533.46620091771956</c:v>
                </c:pt>
                <c:pt idx="440">
                  <c:v>535.56342325500782</c:v>
                </c:pt>
                <c:pt idx="441">
                  <c:v>537.66090869830407</c:v>
                </c:pt>
                <c:pt idx="442">
                  <c:v>539.75854937853421</c:v>
                </c:pt>
                <c:pt idx="443">
                  <c:v>541.85624813009497</c:v>
                </c:pt>
                <c:pt idx="444">
                  <c:v>543.95391317157726</c:v>
                </c:pt>
                <c:pt idx="445">
                  <c:v>546.05145278975772</c:v>
                </c:pt>
                <c:pt idx="446">
                  <c:v>548.14877534081086</c:v>
                </c:pt>
                <c:pt idx="447">
                  <c:v>550.24578925150854</c:v>
                </c:pt>
                <c:pt idx="448">
                  <c:v>552.34240302040587</c:v>
                </c:pt>
                <c:pt idx="449">
                  <c:v>554.43852521901385</c:v>
                </c:pt>
                <c:pt idx="450">
                  <c:v>556.53406449295949</c:v>
                </c:pt>
                <c:pt idx="451">
                  <c:v>558.62892956313169</c:v>
                </c:pt>
                <c:pt idx="452">
                  <c:v>560.7230292268149</c:v>
                </c:pt>
                <c:pt idx="453">
                  <c:v>562.81627995837891</c:v>
                </c:pt>
                <c:pt idx="454">
                  <c:v>564.90861350330624</c:v>
                </c:pt>
                <c:pt idx="455">
                  <c:v>566.99996926593099</c:v>
                </c:pt>
                <c:pt idx="456">
                  <c:v>569.09028670349437</c:v>
                </c:pt>
                <c:pt idx="457">
                  <c:v>571.17950532657562</c:v>
                </c:pt>
                <c:pt idx="458">
                  <c:v>573.26756469951738</c:v>
                </c:pt>
                <c:pt idx="459">
                  <c:v>575.35440444084577</c:v>
                </c:pt>
                <c:pt idx="460">
                  <c:v>577.43996422368423</c:v>
                </c:pt>
                <c:pt idx="461">
                  <c:v>579.52419061104365</c:v>
                </c:pt>
                <c:pt idx="462">
                  <c:v>581.60704388455167</c:v>
                </c:pt>
                <c:pt idx="463">
                  <c:v>583.68849119682238</c:v>
                </c:pt>
                <c:pt idx="464">
                  <c:v>585.76849973021842</c:v>
                </c:pt>
                <c:pt idx="465">
                  <c:v>587.84703669692669</c:v>
                </c:pt>
                <c:pt idx="466">
                  <c:v>589.9240635989438</c:v>
                </c:pt>
                <c:pt idx="467">
                  <c:v>591.99953049374324</c:v>
                </c:pt>
                <c:pt idx="468">
                  <c:v>594.07331782923995</c:v>
                </c:pt>
                <c:pt idx="469">
                  <c:v>596.14525655520231</c:v>
                </c:pt>
                <c:pt idx="470">
                  <c:v>598.21527030284733</c:v>
                </c:pt>
                <c:pt idx="471">
                  <c:v>600.28336099070248</c:v>
                </c:pt>
                <c:pt idx="472">
                  <c:v>602.34953053304366</c:v>
                </c:pt>
                <c:pt idx="473">
                  <c:v>604.41378083990742</c:v>
                </c:pt>
                <c:pt idx="474">
                  <c:v>606.47611381710271</c:v>
                </c:pt>
                <c:pt idx="475">
                  <c:v>608.53653136622324</c:v>
                </c:pt>
                <c:pt idx="476">
                  <c:v>610.59503538465958</c:v>
                </c:pt>
                <c:pt idx="477">
                  <c:v>612.6516277656109</c:v>
                </c:pt>
                <c:pt idx="478">
                  <c:v>614.70631039809712</c:v>
                </c:pt>
                <c:pt idx="479">
                  <c:v>616.75908516697064</c:v>
                </c:pt>
                <c:pt idx="480">
                  <c:v>618.80995395292825</c:v>
                </c:pt>
                <c:pt idx="481">
                  <c:v>620.858918632523</c:v>
                </c:pt>
                <c:pt idx="482">
                  <c:v>622.90598107817584</c:v>
                </c:pt>
                <c:pt idx="483">
                  <c:v>624.95114315818751</c:v>
                </c:pt>
                <c:pt idx="484">
                  <c:v>626.99440673675008</c:v>
                </c:pt>
                <c:pt idx="485">
                  <c:v>629.03577367395849</c:v>
                </c:pt>
                <c:pt idx="486">
                  <c:v>631.07524582582255</c:v>
                </c:pt>
                <c:pt idx="487">
                  <c:v>633.112825044278</c:v>
                </c:pt>
                <c:pt idx="488">
                  <c:v>635.14851317719831</c:v>
                </c:pt>
                <c:pt idx="489">
                  <c:v>637.18231206840608</c:v>
                </c:pt>
                <c:pt idx="490">
                  <c:v>639.21422355768459</c:v>
                </c:pt>
                <c:pt idx="491">
                  <c:v>641.24424948078899</c:v>
                </c:pt>
                <c:pt idx="492">
                  <c:v>643.27239166945765</c:v>
                </c:pt>
                <c:pt idx="493">
                  <c:v>645.29865195142361</c:v>
                </c:pt>
                <c:pt idx="494">
                  <c:v>647.32303215042589</c:v>
                </c:pt>
                <c:pt idx="495">
                  <c:v>649.34553408622037</c:v>
                </c:pt>
                <c:pt idx="496">
                  <c:v>651.36615957459139</c:v>
                </c:pt>
                <c:pt idx="497">
                  <c:v>653.38491042736268</c:v>
                </c:pt>
                <c:pt idx="498">
                  <c:v>655.40178845240848</c:v>
                </c:pt>
                <c:pt idx="499">
                  <c:v>657.41679545366469</c:v>
                </c:pt>
                <c:pt idx="500">
                  <c:v>659.42993323113956</c:v>
                </c:pt>
                <c:pt idx="501">
                  <c:v>679.45864285105449</c:v>
                </c:pt>
                <c:pt idx="502">
                  <c:v>699.30158929699337</c:v>
                </c:pt>
                <c:pt idx="503">
                  <c:v>718.9605331966626</c:v>
                </c:pt>
                <c:pt idx="504">
                  <c:v>738.43719740646941</c:v>
                </c:pt>
                <c:pt idx="505">
                  <c:v>757.7332680446591</c:v>
                </c:pt>
                <c:pt idx="506">
                  <c:v>776.85039548846339</c:v>
                </c:pt>
                <c:pt idx="507">
                  <c:v>795.79019533675955</c:v>
                </c:pt>
                <c:pt idx="508">
                  <c:v>814.5542493396656</c:v>
                </c:pt>
                <c:pt idx="509">
                  <c:v>833.14410629642953</c:v>
                </c:pt>
                <c:pt idx="510">
                  <c:v>851.56128292290373</c:v>
                </c:pt>
                <c:pt idx="511">
                  <c:v>869.80726468983664</c:v>
                </c:pt>
                <c:pt idx="512">
                  <c:v>887.88350663315282</c:v>
                </c:pt>
                <c:pt idx="513">
                  <c:v>905.79143413734016</c:v>
                </c:pt>
                <c:pt idx="514">
                  <c:v>923.5324436930099</c:v>
                </c:pt>
                <c:pt idx="515">
                  <c:v>941.10790362964497</c:v>
                </c:pt>
                <c:pt idx="516">
                  <c:v>958.51915482450727</c:v>
                </c:pt>
                <c:pt idx="517">
                  <c:v>975.76751138862846</c:v>
                </c:pt>
                <c:pt idx="518">
                  <c:v>992.8542613307684</c:v>
                </c:pt>
                <c:pt idx="519">
                  <c:v>1009.7806672001849</c:v>
                </c:pt>
                <c:pt idx="520">
                  <c:v>1026.5479667090199</c:v>
                </c:pt>
                <c:pt idx="521">
                  <c:v>1043.1573733350735</c:v>
                </c:pt>
                <c:pt idx="522">
                  <c:v>1059.6100769057011</c:v>
                </c:pt>
                <c:pt idx="523">
                  <c:v>1075.9072441635383</c:v>
                </c:pt>
                <c:pt idx="524">
                  <c:v>1092.0500193147252</c:v>
                </c:pt>
                <c:pt idx="525">
                  <c:v>1108.039524560277</c:v>
                </c:pt>
                <c:pt idx="526">
                  <c:v>1123.8768606112135</c:v>
                </c:pt>
                <c:pt idx="527">
                  <c:v>1139.5631071880414</c:v>
                </c:pt>
                <c:pt idx="528">
                  <c:v>1155.0993235051512</c:v>
                </c:pt>
                <c:pt idx="529">
                  <c:v>1170.4865487406726</c:v>
                </c:pt>
                <c:pt idx="530">
                  <c:v>1185.7258024923026</c:v>
                </c:pt>
                <c:pt idx="531">
                  <c:v>1200.8180852196092</c:v>
                </c:pt>
                <c:pt idx="532">
                  <c:v>1215.7643786732806</c:v>
                </c:pt>
                <c:pt idx="533">
                  <c:v>1230.5656463117814</c:v>
                </c:pt>
                <c:pt idx="534">
                  <c:v>1245.2228337058505</c:v>
                </c:pt>
                <c:pt idx="535">
                  <c:v>1259.7368689312618</c:v>
                </c:pt>
                <c:pt idx="536">
                  <c:v>1274.1086629502522</c:v>
                </c:pt>
                <c:pt idx="537">
                  <c:v>1288.3391099820017</c:v>
                </c:pt>
                <c:pt idx="538">
                  <c:v>1302.4290878625372</c:v>
                </c:pt>
                <c:pt idx="539">
                  <c:v>1316.3794583944191</c:v>
                </c:pt>
                <c:pt idx="540">
                  <c:v>1330.19106768655</c:v>
                </c:pt>
                <c:pt idx="541">
                  <c:v>1343.8647464844371</c:v>
                </c:pt>
                <c:pt idx="542">
                  <c:v>1357.4013104912228</c:v>
                </c:pt>
                <c:pt idx="543">
                  <c:v>1370.8015606797901</c:v>
                </c:pt>
                <c:pt idx="544">
                  <c:v>1384.0662835962312</c:v>
                </c:pt>
                <c:pt idx="545">
                  <c:v>1397.1962516549647</c:v>
                </c:pt>
                <c:pt idx="546">
                  <c:v>1410.192223425769</c:v>
                </c:pt>
                <c:pt idx="547">
                  <c:v>1423.0549439129927</c:v>
                </c:pt>
                <c:pt idx="548">
                  <c:v>1435.7851448271922</c:v>
                </c:pt>
                <c:pt idx="549">
                  <c:v>1448.3835448494387</c:v>
                </c:pt>
                <c:pt idx="550">
                  <c:v>1460.8508498885255</c:v>
                </c:pt>
                <c:pt idx="551">
                  <c:v>1473.1877533312982</c:v>
                </c:pt>
                <c:pt idx="552">
                  <c:v>1485.3949362863254</c:v>
                </c:pt>
                <c:pt idx="553">
                  <c:v>1497.4730678211158</c:v>
                </c:pt>
                <c:pt idx="554">
                  <c:v>1509.42280519308</c:v>
                </c:pt>
                <c:pt idx="555">
                  <c:v>1521.2447940744337</c:v>
                </c:pt>
                <c:pt idx="556">
                  <c:v>1532.9396687712235</c:v>
                </c:pt>
                <c:pt idx="557">
                  <c:v>1544.5080524366583</c:v>
                </c:pt>
                <c:pt idx="558">
                  <c:v>1555.9505572789146</c:v>
                </c:pt>
                <c:pt idx="559">
                  <c:v>1567.2677847635878</c:v>
                </c:pt>
                <c:pt idx="560">
                  <c:v>1578.4603258109453</c:v>
                </c:pt>
                <c:pt idx="561">
                  <c:v>1589.5287609881395</c:v>
                </c:pt>
                <c:pt idx="562">
                  <c:v>1600.4736606965303</c:v>
                </c:pt>
                <c:pt idx="563">
                  <c:v>1611.2955853542603</c:v>
                </c:pt>
                <c:pt idx="564">
                  <c:v>1621.9950855742245</c:v>
                </c:pt>
                <c:pt idx="565">
                  <c:v>1632.572702337568</c:v>
                </c:pt>
                <c:pt idx="566">
                  <c:v>1643.0289671628439</c:v>
                </c:pt>
                <c:pt idx="567">
                  <c:v>1653.364402270955</c:v>
                </c:pt>
                <c:pt idx="568">
                  <c:v>1663.5795207460053</c:v>
                </c:pt>
                <c:pt idx="569">
                  <c:v>1673.6748266921752</c:v>
                </c:pt>
                <c:pt idx="570">
                  <c:v>1683.6508153867373</c:v>
                </c:pt>
                <c:pt idx="571">
                  <c:v>1693.5079734293229</c:v>
                </c:pt>
                <c:pt idx="572">
                  <c:v>1703.2467788875456</c:v>
                </c:pt>
                <c:pt idx="573">
                  <c:v>1712.8677014390867</c:v>
                </c:pt>
                <c:pt idx="574">
                  <c:v>1722.3712025103412</c:v>
                </c:pt>
                <c:pt idx="575">
                  <c:v>1731.7577354117245</c:v>
                </c:pt>
                <c:pt idx="576">
                  <c:v>1741.0277454697316</c:v>
                </c:pt>
                <c:pt idx="577">
                  <c:v>1750.1816701558414</c:v>
                </c:pt>
                <c:pt idx="578">
                  <c:v>1759.2199392123559</c:v>
                </c:pt>
                <c:pt idx="579">
                  <c:v>1768.1429747752591</c:v>
                </c:pt>
                <c:pt idx="580">
                  <c:v>1776.9511914941804</c:v>
                </c:pt>
                <c:pt idx="581">
                  <c:v>1785.6449966495445</c:v>
                </c:pt>
                <c:pt idx="582">
                  <c:v>1794.2247902669851</c:v>
                </c:pt>
                <c:pt idx="583">
                  <c:v>1802.6909652291019</c:v>
                </c:pt>
                <c:pt idx="584">
                  <c:v>1811.0439073846348</c:v>
                </c:pt>
                <c:pt idx="585">
                  <c:v>1819.2839956551279</c:v>
                </c:pt>
                <c:pt idx="586">
                  <c:v>1827.4116021391567</c:v>
                </c:pt>
                <c:pt idx="587">
                  <c:v>1835.4270922141861</c:v>
                </c:pt>
                <c:pt idx="588">
                  <c:v>1843.3308246361282</c:v>
                </c:pt>
                <c:pt idx="589">
                  <c:v>1851.1231516366663</c:v>
                </c:pt>
                <c:pt idx="590">
                  <c:v>1858.8044190184105</c:v>
                </c:pt>
                <c:pt idx="591">
                  <c:v>1866.3749662479484</c:v>
                </c:pt>
                <c:pt idx="592">
                  <c:v>1873.8351265468527</c:v>
                </c:pt>
                <c:pt idx="593">
                  <c:v>1881.1852269807093</c:v>
                </c:pt>
                <c:pt idx="594">
                  <c:v>1888.4255885462233</c:v>
                </c:pt>
                <c:pt idx="595">
                  <c:v>1895.5565262564655</c:v>
                </c:pt>
                <c:pt idx="596">
                  <c:v>1902.5783492243158</c:v>
                </c:pt>
                <c:pt idx="597">
                  <c:v>1909.491360744162</c:v>
                </c:pt>
                <c:pt idx="598">
                  <c:v>1916.2958583719114</c:v>
                </c:pt>
                <c:pt idx="599">
                  <c:v>1922.9921340033732</c:v>
                </c:pt>
                <c:pt idx="600">
                  <c:v>1929.580473951065</c:v>
                </c:pt>
                <c:pt idx="601">
                  <c:v>1936.0611590195028</c:v>
                </c:pt>
                <c:pt idx="602">
                  <c:v>1942.4344645790288</c:v>
                </c:pt>
                <c:pt idx="603">
                  <c:v>1948.700660638232</c:v>
                </c:pt>
                <c:pt idx="604">
                  <c:v>1954.8600119150187</c:v>
                </c:pt>
                <c:pt idx="605">
                  <c:v>1960.9127779063892</c:v>
                </c:pt>
                <c:pt idx="606">
                  <c:v>1966.8592129569754</c:v>
                </c:pt>
                <c:pt idx="607">
                  <c:v>1972.6995663263981</c:v>
                </c:pt>
                <c:pt idx="608">
                  <c:v>1978.4340822554989</c:v>
                </c:pt>
                <c:pt idx="609">
                  <c:v>1984.063000031507</c:v>
                </c:pt>
                <c:pt idx="610">
                  <c:v>1989.5865540521991</c:v>
                </c:pt>
                <c:pt idx="611">
                  <c:v>1995.0049738891107</c:v>
                </c:pt>
                <c:pt idx="612">
                  <c:v>2000.3184843498634</c:v>
                </c:pt>
                <c:pt idx="613">
                  <c:v>2005.527305539666</c:v>
                </c:pt>
                <c:pt idx="614">
                  <c:v>2010.6316529220587</c:v>
                </c:pt>
                <c:pt idx="615">
                  <c:v>2015.6317373789605</c:v>
                </c:pt>
                <c:pt idx="616">
                  <c:v>2020.5277652700927</c:v>
                </c:pt>
                <c:pt idx="617">
                  <c:v>2025.3199384918439</c:v>
                </c:pt>
                <c:pt idx="618">
                  <c:v>2030.0084545356508</c:v>
                </c:pt>
                <c:pt idx="619">
                  <c:v>2034.5935065459676</c:v>
                </c:pt>
                <c:pt idx="620">
                  <c:v>2039.0752833779029</c:v>
                </c:pt>
                <c:pt idx="621">
                  <c:v>2043.4539696546028</c:v>
                </c:pt>
                <c:pt idx="622">
                  <c:v>2047.7297458244623</c:v>
                </c:pt>
                <c:pt idx="623">
                  <c:v>2051.9027882182522</c:v>
                </c:pt>
                <c:pt idx="624">
                  <c:v>2055.9732691062527</c:v>
                </c:pt>
                <c:pt idx="625">
                  <c:v>2059.9413567554825</c:v>
                </c:pt>
                <c:pt idx="626">
                  <c:v>2063.8072154871247</c:v>
                </c:pt>
                <c:pt idx="627">
                  <c:v>2067.5710057342499</c:v>
                </c:pt>
                <c:pt idx="628">
                  <c:v>2071.2328840999371</c:v>
                </c:pt>
                <c:pt idx="629">
                  <c:v>2074.7930034159081</c:v>
                </c:pt>
                <c:pt idx="630">
                  <c:v>2078.2515128017835</c:v>
                </c:pt>
                <c:pt idx="631">
                  <c:v>2081.6085577250801</c:v>
                </c:pt>
                <c:pt idx="632">
                  <c:v>2084.8642800620705</c:v>
                </c:pt>
                <c:pt idx="633">
                  <c:v>2088.0188181596327</c:v>
                </c:pt>
                <c:pt idx="634">
                  <c:v>2091.0723068982138</c:v>
                </c:pt>
                <c:pt idx="635">
                  <c:v>2094.0248777560496</c:v>
                </c:pt>
                <c:pt idx="636">
                  <c:v>2096.8766588747658</c:v>
                </c:pt>
                <c:pt idx="637">
                  <c:v>2099.6277751265097</c:v>
                </c:pt>
                <c:pt idx="638">
                  <c:v>2102.2783481827464</c:v>
                </c:pt>
                <c:pt idx="639">
                  <c:v>2104.8284965848666</c:v>
                </c:pt>
                <c:pt idx="640">
                  <c:v>2107.2783358167435</c:v>
                </c:pt>
                <c:pt idx="641">
                  <c:v>2109.6279783793884</c:v>
                </c:pt>
                <c:pt idx="642">
                  <c:v>2111.8775338678374</c:v>
                </c:pt>
                <c:pt idx="643">
                  <c:v>2114.0271090504102</c:v>
                </c:pt>
                <c:pt idx="644">
                  <c:v>2116.0768079504733</c:v>
                </c:pt>
                <c:pt idx="645">
                  <c:v>2118.0267319308314</c:v>
                </c:pt>
                <c:pt idx="646">
                  <c:v>2119.8769797808623</c:v>
                </c:pt>
                <c:pt idx="647">
                  <c:v>2121.6276478065024</c:v>
                </c:pt>
                <c:pt idx="648">
                  <c:v>2123.2788299231752</c:v>
                </c:pt>
                <c:pt idx="649">
                  <c:v>2124.830617751737</c:v>
                </c:pt>
                <c:pt idx="650">
                  <c:v>2126.2831007175014</c:v>
                </c:pt>
                <c:pt idx="651">
                  <c:v>2127.6363661523783</c:v>
                </c:pt>
                <c:pt idx="652">
                  <c:v>2128.8904994001441</c:v>
                </c:pt>
                <c:pt idx="653">
                  <c:v>2130.0455839248311</c:v>
                </c:pt>
                <c:pt idx="654">
                  <c:v>2131.1017014221975</c:v>
                </c:pt>
                <c:pt idx="655">
                  <c:v>2132.0589319342125</c:v>
                </c:pt>
                <c:pt idx="656">
                  <c:v>2132.917353966458</c:v>
                </c:pt>
                <c:pt idx="657">
                  <c:v>2133.677044608311</c:v>
                </c:pt>
                <c:pt idx="658">
                  <c:v>2134.3380796557508</c:v>
                </c:pt>
                <c:pt idx="659">
                  <c:v>2134.9005337365847</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3E62-4C97-96C4-8569A9DB8ECB}"/>
            </c:ext>
          </c:extLst>
        </c:ser>
        <c:ser>
          <c:idx val="6"/>
          <c:order val="5"/>
          <c:tx>
            <c:strRef>
              <c:f>Trajecto!$B$106</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Trajecto!$D$155</c:f>
              <c:numCache>
                <c:formatCode>0</c:formatCode>
                <c:ptCount val="1"/>
                <c:pt idx="0">
                  <c:v>218.50766562533508</c:v>
                </c:pt>
              </c:numCache>
            </c:numRef>
          </c:xVal>
          <c:yVal>
            <c:numRef>
              <c:f>Trajecto!$C$155</c:f>
              <c:numCache>
                <c:formatCode>0</c:formatCode>
                <c:ptCount val="1"/>
                <c:pt idx="0">
                  <c:v>1067.6822402189348</c:v>
                </c:pt>
              </c:numCache>
            </c:numRef>
          </c:yVal>
          <c:smooth val="0"/>
          <c:extLst>
            <c:ext xmlns:c16="http://schemas.microsoft.com/office/drawing/2014/chart" uri="{C3380CC4-5D6E-409C-BE32-E72D297353CC}">
              <c16:uniqueId val="{00000006-3E62-4C97-96C4-8569A9DB8ECB}"/>
            </c:ext>
          </c:extLst>
        </c:ser>
        <c:ser>
          <c:idx val="7"/>
          <c:order val="6"/>
          <c:tx>
            <c:strRef>
              <c:f>Trajecto!$B$107</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Trajecto!$D$156</c:f>
              <c:numCache>
                <c:formatCode>0</c:formatCode>
                <c:ptCount val="1"/>
                <c:pt idx="0">
                  <c:v>1389.2338363968602</c:v>
                </c:pt>
              </c:numCache>
            </c:numRef>
          </c:xVal>
          <c:yVal>
            <c:numRef>
              <c:f>Trajecto!$C$156</c:f>
              <c:numCache>
                <c:formatCode>0</c:formatCode>
                <c:ptCount val="1"/>
                <c:pt idx="0">
                  <c:v>1068.1183180247847</c:v>
                </c:pt>
              </c:numCache>
            </c:numRef>
          </c:yVal>
          <c:smooth val="0"/>
          <c:extLst>
            <c:ext xmlns:c16="http://schemas.microsoft.com/office/drawing/2014/chart" uri="{C3380CC4-5D6E-409C-BE32-E72D297353CC}">
              <c16:uniqueId val="{00000007-3E62-4C97-96C4-8569A9DB8ECB}"/>
            </c:ext>
          </c:extLst>
        </c:ser>
        <c:ser>
          <c:idx val="8"/>
          <c:order val="7"/>
          <c:tx>
            <c:strRef>
              <c:f>Trajecto!$D$158</c:f>
              <c:strCache>
                <c:ptCount val="1"/>
                <c:pt idx="0">
                  <c:v>Arc de triomphe</c:v>
                </c:pt>
              </c:strCache>
            </c:strRef>
          </c:tx>
          <c:spPr>
            <a:ln>
              <a:solidFill>
                <a:srgbClr val="C0C0C0"/>
              </a:solidFill>
            </a:ln>
          </c:spPr>
          <c:marker>
            <c:symbol val="none"/>
          </c:marker>
          <c:dLbls>
            <c:dLbl>
              <c:idx val="8"/>
              <c:tx>
                <c:strRef>
                  <c:f>Trajecto!$D$158</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{51D984EB-75BA-44AF-8739-E359B468A50F}</c15:txfldGUID>
                      <c15:f>Trajecto!$D$158</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Trajecto!$D$159:$D$174</c:f>
              <c:numCache>
                <c:formatCode>0</c:formatCode>
                <c:ptCount val="16"/>
                <c:pt idx="0">
                  <c:v>889.75158611101074</c:v>
                </c:pt>
                <c:pt idx="1">
                  <c:v>912.75158611101074</c:v>
                </c:pt>
                <c:pt idx="2">
                  <c:v>912.75158611101074</c:v>
                </c:pt>
                <c:pt idx="3">
                  <c:v>889.75158611101074</c:v>
                </c:pt>
                <c:pt idx="4">
                  <c:v>912.75158611101074</c:v>
                </c:pt>
                <c:pt idx="5">
                  <c:v>912.75158611101074</c:v>
                </c:pt>
                <c:pt idx="6">
                  <c:v>897.75158611101074</c:v>
                </c:pt>
                <c:pt idx="7">
                  <c:v>897.75158611101074</c:v>
                </c:pt>
                <c:pt idx="8">
                  <c:v>912.75158611101074</c:v>
                </c:pt>
                <c:pt idx="9">
                  <c:v>897.75158611101074</c:v>
                </c:pt>
                <c:pt idx="10">
                  <c:v>897.35158611101076</c:v>
                </c:pt>
                <c:pt idx="11">
                  <c:v>896.55158611101069</c:v>
                </c:pt>
                <c:pt idx="12">
                  <c:v>895.75158611101074</c:v>
                </c:pt>
                <c:pt idx="13">
                  <c:v>894.75158611101074</c:v>
                </c:pt>
                <c:pt idx="14">
                  <c:v>893.55158611101069</c:v>
                </c:pt>
                <c:pt idx="15">
                  <c:v>889.75158611101074</c:v>
                </c:pt>
              </c:numCache>
            </c:numRef>
          </c:xVal>
          <c:yVal>
            <c:numRef>
              <c:f>Trajecto!$B$161:$B$176</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3E62-4C97-96C4-8569A9DB8ECB}"/>
            </c:ext>
          </c:extLst>
        </c:ser>
        <c:ser>
          <c:idx val="9"/>
          <c:order val="8"/>
          <c:tx>
            <c:strRef>
              <c:f>Trajecto!$F$158</c:f>
              <c:strCache>
                <c:ptCount val="1"/>
                <c:pt idx="0">
                  <c:v>Arc de triomphe</c:v>
                </c:pt>
              </c:strCache>
            </c:strRef>
          </c:tx>
          <c:spPr>
            <a:ln>
              <a:solidFill>
                <a:srgbClr val="C0C0C0"/>
              </a:solidFill>
            </a:ln>
          </c:spPr>
          <c:marker>
            <c:symbol val="none"/>
          </c:marker>
          <c:xVal>
            <c:numRef>
              <c:f>Trajecto!$F$159:$F$174</c:f>
              <c:numCache>
                <c:formatCode>0</c:formatCode>
                <c:ptCount val="16"/>
                <c:pt idx="0">
                  <c:v>889.75158611101074</c:v>
                </c:pt>
                <c:pt idx="1">
                  <c:v>866.75158611101074</c:v>
                </c:pt>
                <c:pt idx="2">
                  <c:v>866.75158611101074</c:v>
                </c:pt>
                <c:pt idx="3">
                  <c:v>889.75158611101074</c:v>
                </c:pt>
                <c:pt idx="4">
                  <c:v>866.75158611101074</c:v>
                </c:pt>
                <c:pt idx="5">
                  <c:v>866.75158611101074</c:v>
                </c:pt>
                <c:pt idx="6">
                  <c:v>881.75158611101074</c:v>
                </c:pt>
                <c:pt idx="7">
                  <c:v>881.75158611101074</c:v>
                </c:pt>
                <c:pt idx="8">
                  <c:v>866.75158611101074</c:v>
                </c:pt>
                <c:pt idx="9">
                  <c:v>881.75158611101074</c:v>
                </c:pt>
                <c:pt idx="10">
                  <c:v>882.15158611101072</c:v>
                </c:pt>
                <c:pt idx="11">
                  <c:v>882.95158611101078</c:v>
                </c:pt>
                <c:pt idx="12">
                  <c:v>883.75158611101074</c:v>
                </c:pt>
                <c:pt idx="13">
                  <c:v>884.75158611101074</c:v>
                </c:pt>
                <c:pt idx="14">
                  <c:v>885.95158611101078</c:v>
                </c:pt>
                <c:pt idx="15">
                  <c:v>889.75158611101074</c:v>
                </c:pt>
              </c:numCache>
            </c:numRef>
          </c:xVal>
          <c:yVal>
            <c:numRef>
              <c:f>Trajecto!$B$161:$B$176</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3E62-4C97-96C4-8569A9DB8ECB}"/>
            </c:ext>
          </c:extLst>
        </c:ser>
        <c:ser>
          <c:idx val="10"/>
          <c:order val="9"/>
          <c:tx>
            <c:strRef>
              <c:f>Trajecto!$D$176</c:f>
              <c:strCache>
                <c:ptCount val="1"/>
                <c:pt idx="0">
                  <c:v>Tour Eiffel</c:v>
                </c:pt>
              </c:strCache>
            </c:strRef>
          </c:tx>
          <c:spPr>
            <a:ln>
              <a:solidFill>
                <a:srgbClr val="C0C0C0"/>
              </a:solidFill>
            </a:ln>
          </c:spPr>
          <c:marker>
            <c:symbol val="none"/>
          </c:marker>
          <c:dLbls>
            <c:dLbl>
              <c:idx val="6"/>
              <c:tx>
                <c:strRef>
                  <c:f>Trajecto!$D$176</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{06EAA568-46A0-4982-8E7F-BA0A29DFF00E}</c15:txfldGUID>
                      <c15:f>Trajecto!$D$176</c15:f>
                      <c15:dlblFieldTableCache>
                        <c:ptCount val="1"/>
                        <c:pt idx="0">
                          <c:v>Tour Eiffel</c:v>
                        </c:pt>
                      </c15:dlblFieldTableCache>
                    </c15:dlblFTEntry>
                  </c15:dlblFieldTable>
                  <c15:showDataLabelsRange val="0"/>
                </c:ext>
                <c:ext xmlns:c16="http://schemas.microsoft.com/office/drawing/2014/chart" uri="{C3380CC4-5D6E-409C-BE32-E72D297353CC}">
                  <c16:uniqueId val="{0000000B-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Trajecto!$D$177:$D$193</c:f>
              <c:numCache>
                <c:formatCode>0</c:formatCode>
                <c:ptCount val="17"/>
                <c:pt idx="0">
                  <c:v>889.75158611101074</c:v>
                </c:pt>
                <c:pt idx="1">
                  <c:v>889.75158611101074</c:v>
                </c:pt>
                <c:pt idx="2">
                  <c:v>899.75158611101074</c:v>
                </c:pt>
                <c:pt idx="3">
                  <c:v>889.75158611101074</c:v>
                </c:pt>
                <c:pt idx="4">
                  <c:v>899.75158611101074</c:v>
                </c:pt>
                <c:pt idx="5">
                  <c:v>902.75158611101074</c:v>
                </c:pt>
                <c:pt idx="6">
                  <c:v>906.75158611101074</c:v>
                </c:pt>
                <c:pt idx="7">
                  <c:v>909.75158611101074</c:v>
                </c:pt>
                <c:pt idx="8">
                  <c:v>914.75158611101074</c:v>
                </c:pt>
                <c:pt idx="9">
                  <c:v>919.75158611101074</c:v>
                </c:pt>
                <c:pt idx="10">
                  <c:v>925.75158611101074</c:v>
                </c:pt>
                <c:pt idx="11">
                  <c:v>937.75158611101074</c:v>
                </c:pt>
                <c:pt idx="12">
                  <c:v>951.75158611101074</c:v>
                </c:pt>
                <c:pt idx="13">
                  <c:v>926.75158611101074</c:v>
                </c:pt>
                <c:pt idx="14">
                  <c:v>919.75158611101074</c:v>
                </c:pt>
                <c:pt idx="15">
                  <c:v>904.75158611101074</c:v>
                </c:pt>
                <c:pt idx="16">
                  <c:v>889.75158611101074</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3E62-4C97-96C4-8569A9DB8ECB}"/>
            </c:ext>
          </c:extLst>
        </c:ser>
        <c:ser>
          <c:idx val="11"/>
          <c:order val="10"/>
          <c:tx>
            <c:strRef>
              <c:f>Trajecto!$F$176</c:f>
              <c:strCache>
                <c:ptCount val="1"/>
                <c:pt idx="0">
                  <c:v>Tour Eiffel</c:v>
                </c:pt>
              </c:strCache>
            </c:strRef>
          </c:tx>
          <c:spPr>
            <a:ln>
              <a:solidFill>
                <a:srgbClr val="C0C0C0"/>
              </a:solidFill>
            </a:ln>
          </c:spPr>
          <c:marker>
            <c:symbol val="none"/>
          </c:marker>
          <c:xVal>
            <c:numRef>
              <c:f>Trajecto!$F$177:$F$193</c:f>
              <c:numCache>
                <c:formatCode>0</c:formatCode>
                <c:ptCount val="17"/>
                <c:pt idx="0">
                  <c:v>889.75158611101074</c:v>
                </c:pt>
                <c:pt idx="1">
                  <c:v>889.75158611101074</c:v>
                </c:pt>
                <c:pt idx="2">
                  <c:v>879.75158611101074</c:v>
                </c:pt>
                <c:pt idx="3">
                  <c:v>889.75158611101074</c:v>
                </c:pt>
                <c:pt idx="4">
                  <c:v>879.75158611101074</c:v>
                </c:pt>
                <c:pt idx="5">
                  <c:v>876.75158611101074</c:v>
                </c:pt>
                <c:pt idx="6">
                  <c:v>872.75158611101074</c:v>
                </c:pt>
                <c:pt idx="7">
                  <c:v>869.75158611101074</c:v>
                </c:pt>
                <c:pt idx="8">
                  <c:v>864.75158611101074</c:v>
                </c:pt>
                <c:pt idx="9">
                  <c:v>859.75158611101074</c:v>
                </c:pt>
                <c:pt idx="10">
                  <c:v>853.75158611101074</c:v>
                </c:pt>
                <c:pt idx="11">
                  <c:v>841.75158611101074</c:v>
                </c:pt>
                <c:pt idx="12">
                  <c:v>827.75158611101074</c:v>
                </c:pt>
                <c:pt idx="13">
                  <c:v>852.75158611101074</c:v>
                </c:pt>
                <c:pt idx="14">
                  <c:v>859.75158611101074</c:v>
                </c:pt>
                <c:pt idx="15">
                  <c:v>874.75158611101074</c:v>
                </c:pt>
                <c:pt idx="16">
                  <c:v>889.75158611101074</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3E62-4C97-96C4-8569A9DB8ECB}"/>
            </c:ext>
          </c:extLst>
        </c:ser>
        <c:ser>
          <c:idx val="12"/>
          <c:order val="11"/>
          <c:tx>
            <c:strRef>
              <c:f>Trajecto!$D$176</c:f>
              <c:strCache>
                <c:ptCount val="1"/>
                <c:pt idx="0">
                  <c:v>Tour Eiffel</c:v>
                </c:pt>
              </c:strCache>
            </c:strRef>
          </c:tx>
          <c:spPr>
            <a:ln>
              <a:solidFill>
                <a:srgbClr val="C0C0C0"/>
              </a:solidFill>
            </a:ln>
          </c:spPr>
          <c:marker>
            <c:symbol val="none"/>
          </c:marker>
          <c:xVal>
            <c:numRef>
              <c:f>Trajecto!$D$194:$D$197</c:f>
              <c:numCache>
                <c:formatCode>0</c:formatCode>
                <c:ptCount val="4"/>
                <c:pt idx="0">
                  <c:v>889.75158611101074</c:v>
                </c:pt>
                <c:pt idx="1">
                  <c:v>906.75158611101074</c:v>
                </c:pt>
                <c:pt idx="2">
                  <c:v>900.75158611101074</c:v>
                </c:pt>
                <c:pt idx="3">
                  <c:v>889.75158611101074</c:v>
                </c:pt>
              </c:numCache>
            </c:numRef>
          </c:xVal>
          <c:yVal>
            <c:numRef>
              <c:f>Trajecto!$B$196:$B$199</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3E62-4C97-96C4-8569A9DB8ECB}"/>
            </c:ext>
          </c:extLst>
        </c:ser>
        <c:ser>
          <c:idx val="13"/>
          <c:order val="12"/>
          <c:tx>
            <c:strRef>
              <c:f>Trajecto!$F$176</c:f>
              <c:strCache>
                <c:ptCount val="1"/>
                <c:pt idx="0">
                  <c:v>Tour Eiffel</c:v>
                </c:pt>
              </c:strCache>
            </c:strRef>
          </c:tx>
          <c:spPr>
            <a:ln>
              <a:solidFill>
                <a:srgbClr val="C0C0C0"/>
              </a:solidFill>
            </a:ln>
          </c:spPr>
          <c:marker>
            <c:symbol val="none"/>
          </c:marker>
          <c:xVal>
            <c:numRef>
              <c:f>Trajecto!$F$194:$F$197</c:f>
              <c:numCache>
                <c:formatCode>0</c:formatCode>
                <c:ptCount val="4"/>
                <c:pt idx="0">
                  <c:v>889.75158611101074</c:v>
                </c:pt>
                <c:pt idx="1">
                  <c:v>872.75158611101074</c:v>
                </c:pt>
                <c:pt idx="2">
                  <c:v>878.75158611101074</c:v>
                </c:pt>
                <c:pt idx="3">
                  <c:v>889.75158611101074</c:v>
                </c:pt>
              </c:numCache>
            </c:numRef>
          </c:xVal>
          <c:yVal>
            <c:numRef>
              <c:f>Trajecto!$B$196:$B$199</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3E62-4C97-96C4-8569A9DB8ECB}"/>
            </c:ext>
          </c:extLst>
        </c:ser>
        <c:ser>
          <c:idx val="3"/>
          <c:order val="13"/>
          <c:tx>
            <c:strRef>
              <c:f>Trajecto!$B$108</c:f>
              <c:strCache>
                <c:ptCount val="1"/>
                <c:pt idx="0">
                  <c:v>Fusée sous parachute</c:v>
                </c:pt>
              </c:strCache>
            </c:strRef>
          </c:tx>
          <c:spPr>
            <a:ln>
              <a:solidFill>
                <a:srgbClr val="008000"/>
              </a:solidFill>
            </a:ln>
          </c:spPr>
          <c:marker>
            <c:symbol val="none"/>
          </c:marker>
          <c:dLbls>
            <c:dLbl>
              <c:idx val="1"/>
              <c:tx>
                <c:strRef>
                  <c:f>Trajecto!$B$108</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{92E9C6E7-31D1-43D9-A09A-04918EABE83E}</c15:txfldGUID>
                      <c15:f>Trajecto!$B$108</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Trajecto!$B$123:$B$129</c:f>
              <c:numCache>
                <c:formatCode>0</c:formatCode>
                <c:ptCount val="7"/>
                <c:pt idx="0">
                  <c:v>874.03066250134032</c:v>
                </c:pt>
                <c:pt idx="1">
                  <c:v>874.03066250134032</c:v>
                </c:pt>
                <c:pt idx="2">
                  <c:v>874.03066250134032</c:v>
                </c:pt>
                <c:pt idx="3">
                  <c:v>927.41477451228707</c:v>
                </c:pt>
                <c:pt idx="4">
                  <c:v>874.03066250134032</c:v>
                </c:pt>
                <c:pt idx="5">
                  <c:v>820.64655049039357</c:v>
                </c:pt>
                <c:pt idx="6">
                  <c:v>874.03066250134032</c:v>
                </c:pt>
              </c:numCache>
            </c:numRef>
          </c:xVal>
          <c:yVal>
            <c:numRef>
              <c:f>Trajecto!$C$121:$C$127</c:f>
              <c:numCache>
                <c:formatCode>0</c:formatCode>
                <c:ptCount val="7"/>
                <c:pt idx="0">
                  <c:v>2135.3644804378696</c:v>
                </c:pt>
                <c:pt idx="1">
                  <c:v>1067.6822402189348</c:v>
                </c:pt>
                <c:pt idx="2">
                  <c:v>0</c:v>
                </c:pt>
                <c:pt idx="3">
                  <c:v>106.76822402189347</c:v>
                </c:pt>
                <c:pt idx="4">
                  <c:v>0</c:v>
                </c:pt>
                <c:pt idx="5">
                  <c:v>106.76822402189347</c:v>
                </c:pt>
                <c:pt idx="6" formatCode="General">
                  <c:v>0</c:v>
                </c:pt>
              </c:numCache>
            </c:numRef>
          </c:yVal>
          <c:smooth val="0"/>
          <c:extLst>
            <c:ext xmlns:c16="http://schemas.microsoft.com/office/drawing/2014/chart" uri="{C3380CC4-5D6E-409C-BE32-E72D297353CC}">
              <c16:uniqueId val="{00000011-3E62-4C97-96C4-8569A9DB8ECB}"/>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Trajecto!$B$111</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Trajecto!$B$113</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Trajecto!$B$120</c:f>
              <c:numCache>
                <c:formatCode>0</c:formatCode>
                <c:ptCount val="1"/>
                <c:pt idx="0">
                  <c:v>2136.2366360495694</c:v>
                </c:pt>
              </c:numCache>
            </c:numRef>
          </c:yVal>
          <c:smooth val="0"/>
          <c:extLst>
            <c:ext xmlns:c16="http://schemas.microsoft.com/office/drawing/2014/chart" uri="{C3380CC4-5D6E-409C-BE32-E72D297353CC}">
              <c16:uniqueId val="{00000000-AEC5-4DB4-900B-02E79FDE56EC}"/>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2.0000000000000013</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2.99999999999998</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3.9999999999999587</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4.9999999999999378</c:v>
                </c:pt>
                <c:pt idx="501">
                  <c:v>#N/A</c:v>
                </c:pt>
                <c:pt idx="502">
                  <c:v>#N/A</c:v>
                </c:pt>
                <c:pt idx="503">
                  <c:v>#N/A</c:v>
                </c:pt>
                <c:pt idx="504">
                  <c:v>#N/A</c:v>
                </c:pt>
                <c:pt idx="505">
                  <c:v>#N/A</c:v>
                </c:pt>
                <c:pt idx="506">
                  <c:v>#N/A</c:v>
                </c:pt>
                <c:pt idx="507">
                  <c:v>#N/A</c:v>
                </c:pt>
                <c:pt idx="508">
                  <c:v>#N/A</c:v>
                </c:pt>
                <c:pt idx="509">
                  <c:v>#N/A</c:v>
                </c:pt>
                <c:pt idx="510">
                  <c:v>5.9999999999999343</c:v>
                </c:pt>
                <c:pt idx="511">
                  <c:v>#N/A</c:v>
                </c:pt>
                <c:pt idx="512">
                  <c:v>#N/A</c:v>
                </c:pt>
                <c:pt idx="513">
                  <c:v>#N/A</c:v>
                </c:pt>
                <c:pt idx="514">
                  <c:v>#N/A</c:v>
                </c:pt>
                <c:pt idx="515">
                  <c:v>#N/A</c:v>
                </c:pt>
                <c:pt idx="516">
                  <c:v>#N/A</c:v>
                </c:pt>
                <c:pt idx="517">
                  <c:v>#N/A</c:v>
                </c:pt>
                <c:pt idx="518">
                  <c:v>#N/A</c:v>
                </c:pt>
                <c:pt idx="519">
                  <c:v>#N/A</c:v>
                </c:pt>
                <c:pt idx="520">
                  <c:v>6.9999999999999307</c:v>
                </c:pt>
                <c:pt idx="521">
                  <c:v>#N/A</c:v>
                </c:pt>
                <c:pt idx="522">
                  <c:v>#N/A</c:v>
                </c:pt>
                <c:pt idx="523">
                  <c:v>#N/A</c:v>
                </c:pt>
                <c:pt idx="524">
                  <c:v>#N/A</c:v>
                </c:pt>
                <c:pt idx="525">
                  <c:v>#N/A</c:v>
                </c:pt>
                <c:pt idx="526">
                  <c:v>#N/A</c:v>
                </c:pt>
                <c:pt idx="527">
                  <c:v>#N/A</c:v>
                </c:pt>
                <c:pt idx="528">
                  <c:v>#N/A</c:v>
                </c:pt>
                <c:pt idx="529">
                  <c:v>#N/A</c:v>
                </c:pt>
                <c:pt idx="530">
                  <c:v>7.9999999999999272</c:v>
                </c:pt>
                <c:pt idx="531">
                  <c:v>#N/A</c:v>
                </c:pt>
                <c:pt idx="532">
                  <c:v>#N/A</c:v>
                </c:pt>
                <c:pt idx="533">
                  <c:v>#N/A</c:v>
                </c:pt>
                <c:pt idx="534">
                  <c:v>#N/A</c:v>
                </c:pt>
                <c:pt idx="535">
                  <c:v>#N/A</c:v>
                </c:pt>
                <c:pt idx="536">
                  <c:v>#N/A</c:v>
                </c:pt>
                <c:pt idx="537">
                  <c:v>#N/A</c:v>
                </c:pt>
                <c:pt idx="538">
                  <c:v>#N/A</c:v>
                </c:pt>
                <c:pt idx="539">
                  <c:v>#N/A</c:v>
                </c:pt>
                <c:pt idx="540">
                  <c:v>8.9999999999999236</c:v>
                </c:pt>
                <c:pt idx="541">
                  <c:v>#N/A</c:v>
                </c:pt>
                <c:pt idx="542">
                  <c:v>#N/A</c:v>
                </c:pt>
                <c:pt idx="543">
                  <c:v>#N/A</c:v>
                </c:pt>
                <c:pt idx="544">
                  <c:v>#N/A</c:v>
                </c:pt>
                <c:pt idx="545">
                  <c:v>#N/A</c:v>
                </c:pt>
                <c:pt idx="546">
                  <c:v>#N/A</c:v>
                </c:pt>
                <c:pt idx="547">
                  <c:v>#N/A</c:v>
                </c:pt>
                <c:pt idx="548">
                  <c:v>#N/A</c:v>
                </c:pt>
                <c:pt idx="549">
                  <c:v>#N/A</c:v>
                </c:pt>
                <c:pt idx="550">
                  <c:v>9.9999999999999201</c:v>
                </c:pt>
                <c:pt idx="551">
                  <c:v>#N/A</c:v>
                </c:pt>
                <c:pt idx="552">
                  <c:v>#N/A</c:v>
                </c:pt>
                <c:pt idx="553">
                  <c:v>#N/A</c:v>
                </c:pt>
                <c:pt idx="554">
                  <c:v>#N/A</c:v>
                </c:pt>
                <c:pt idx="555">
                  <c:v>#N/A</c:v>
                </c:pt>
                <c:pt idx="556">
                  <c:v>#N/A</c:v>
                </c:pt>
                <c:pt idx="557">
                  <c:v>#N/A</c:v>
                </c:pt>
                <c:pt idx="558">
                  <c:v>#N/A</c:v>
                </c:pt>
                <c:pt idx="559">
                  <c:v>#N/A</c:v>
                </c:pt>
                <c:pt idx="560">
                  <c:v>10.999999999999917</c:v>
                </c:pt>
                <c:pt idx="561">
                  <c:v>#N/A</c:v>
                </c:pt>
                <c:pt idx="562">
                  <c:v>#N/A</c:v>
                </c:pt>
                <c:pt idx="563">
                  <c:v>#N/A</c:v>
                </c:pt>
                <c:pt idx="564">
                  <c:v>#N/A</c:v>
                </c:pt>
                <c:pt idx="565">
                  <c:v>#N/A</c:v>
                </c:pt>
                <c:pt idx="566">
                  <c:v>#N/A</c:v>
                </c:pt>
                <c:pt idx="567">
                  <c:v>#N/A</c:v>
                </c:pt>
                <c:pt idx="568">
                  <c:v>#N/A</c:v>
                </c:pt>
                <c:pt idx="569">
                  <c:v>#N/A</c:v>
                </c:pt>
                <c:pt idx="570">
                  <c:v>11.999999999999913</c:v>
                </c:pt>
                <c:pt idx="571">
                  <c:v>#N/A</c:v>
                </c:pt>
                <c:pt idx="572">
                  <c:v>#N/A</c:v>
                </c:pt>
                <c:pt idx="573">
                  <c:v>#N/A</c:v>
                </c:pt>
                <c:pt idx="574">
                  <c:v>#N/A</c:v>
                </c:pt>
                <c:pt idx="575">
                  <c:v>#N/A</c:v>
                </c:pt>
                <c:pt idx="576">
                  <c:v>#N/A</c:v>
                </c:pt>
                <c:pt idx="577">
                  <c:v>#N/A</c:v>
                </c:pt>
                <c:pt idx="578">
                  <c:v>#N/A</c:v>
                </c:pt>
                <c:pt idx="579">
                  <c:v>#N/A</c:v>
                </c:pt>
                <c:pt idx="580">
                  <c:v>12.999999999999909</c:v>
                </c:pt>
                <c:pt idx="581">
                  <c:v>#N/A</c:v>
                </c:pt>
                <c:pt idx="582">
                  <c:v>#N/A</c:v>
                </c:pt>
                <c:pt idx="583">
                  <c:v>#N/A</c:v>
                </c:pt>
                <c:pt idx="584">
                  <c:v>#N/A</c:v>
                </c:pt>
                <c:pt idx="585">
                  <c:v>#N/A</c:v>
                </c:pt>
                <c:pt idx="586">
                  <c:v>#N/A</c:v>
                </c:pt>
                <c:pt idx="587">
                  <c:v>#N/A</c:v>
                </c:pt>
                <c:pt idx="588">
                  <c:v>#N/A</c:v>
                </c:pt>
                <c:pt idx="589">
                  <c:v>#N/A</c:v>
                </c:pt>
                <c:pt idx="590">
                  <c:v>13.999999999999906</c:v>
                </c:pt>
                <c:pt idx="591">
                  <c:v>#N/A</c:v>
                </c:pt>
                <c:pt idx="592">
                  <c:v>#N/A</c:v>
                </c:pt>
                <c:pt idx="593">
                  <c:v>#N/A</c:v>
                </c:pt>
                <c:pt idx="594">
                  <c:v>#N/A</c:v>
                </c:pt>
                <c:pt idx="595">
                  <c:v>#N/A</c:v>
                </c:pt>
                <c:pt idx="596">
                  <c:v>#N/A</c:v>
                </c:pt>
                <c:pt idx="597">
                  <c:v>#N/A</c:v>
                </c:pt>
                <c:pt idx="598">
                  <c:v>#N/A</c:v>
                </c:pt>
                <c:pt idx="599">
                  <c:v>#N/A</c:v>
                </c:pt>
                <c:pt idx="600">
                  <c:v>14.999999999999902</c:v>
                </c:pt>
                <c:pt idx="601">
                  <c:v>#N/A</c:v>
                </c:pt>
                <c:pt idx="602">
                  <c:v>#N/A</c:v>
                </c:pt>
                <c:pt idx="603">
                  <c:v>#N/A</c:v>
                </c:pt>
                <c:pt idx="604">
                  <c:v>#N/A</c:v>
                </c:pt>
                <c:pt idx="605">
                  <c:v>#N/A</c:v>
                </c:pt>
                <c:pt idx="606">
                  <c:v>#N/A</c:v>
                </c:pt>
                <c:pt idx="607">
                  <c:v>#N/A</c:v>
                </c:pt>
                <c:pt idx="608">
                  <c:v>#N/A</c:v>
                </c:pt>
                <c:pt idx="609">
                  <c:v>#N/A</c:v>
                </c:pt>
                <c:pt idx="610">
                  <c:v>15.999999999999899</c:v>
                </c:pt>
                <c:pt idx="611">
                  <c:v>#N/A</c:v>
                </c:pt>
                <c:pt idx="612">
                  <c:v>#N/A</c:v>
                </c:pt>
                <c:pt idx="613">
                  <c:v>#N/A</c:v>
                </c:pt>
                <c:pt idx="614">
                  <c:v>#N/A</c:v>
                </c:pt>
                <c:pt idx="615">
                  <c:v>#N/A</c:v>
                </c:pt>
                <c:pt idx="616">
                  <c:v>#N/A</c:v>
                </c:pt>
                <c:pt idx="617">
                  <c:v>#N/A</c:v>
                </c:pt>
                <c:pt idx="618">
                  <c:v>#N/A</c:v>
                </c:pt>
                <c:pt idx="619">
                  <c:v>#N/A</c:v>
                </c:pt>
                <c:pt idx="620">
                  <c:v>16.999999999999911</c:v>
                </c:pt>
                <c:pt idx="621">
                  <c:v>#N/A</c:v>
                </c:pt>
                <c:pt idx="622">
                  <c:v>#N/A</c:v>
                </c:pt>
                <c:pt idx="623">
                  <c:v>#N/A</c:v>
                </c:pt>
                <c:pt idx="624">
                  <c:v>#N/A</c:v>
                </c:pt>
                <c:pt idx="625">
                  <c:v>#N/A</c:v>
                </c:pt>
                <c:pt idx="626">
                  <c:v>#N/A</c:v>
                </c:pt>
                <c:pt idx="627">
                  <c:v>#N/A</c:v>
                </c:pt>
                <c:pt idx="628">
                  <c:v>#N/A</c:v>
                </c:pt>
                <c:pt idx="629">
                  <c:v>#N/A</c:v>
                </c:pt>
                <c:pt idx="630">
                  <c:v>17.999999999999925</c:v>
                </c:pt>
                <c:pt idx="631">
                  <c:v>#N/A</c:v>
                </c:pt>
                <c:pt idx="632">
                  <c:v>#N/A</c:v>
                </c:pt>
                <c:pt idx="633">
                  <c:v>#N/A</c:v>
                </c:pt>
                <c:pt idx="634">
                  <c:v>#N/A</c:v>
                </c:pt>
                <c:pt idx="635">
                  <c:v>#N/A</c:v>
                </c:pt>
                <c:pt idx="636">
                  <c:v>#N/A</c:v>
                </c:pt>
                <c:pt idx="637">
                  <c:v>#N/A</c:v>
                </c:pt>
                <c:pt idx="638">
                  <c:v>#N/A</c:v>
                </c:pt>
                <c:pt idx="639">
                  <c:v>#N/A</c:v>
                </c:pt>
                <c:pt idx="640">
                  <c:v>18.99999999999994</c:v>
                </c:pt>
                <c:pt idx="641">
                  <c:v>#N/A</c:v>
                </c:pt>
                <c:pt idx="642">
                  <c:v>#N/A</c:v>
                </c:pt>
                <c:pt idx="643">
                  <c:v>#N/A</c:v>
                </c:pt>
                <c:pt idx="644">
                  <c:v>#N/A</c:v>
                </c:pt>
                <c:pt idx="645">
                  <c:v>#N/A</c:v>
                </c:pt>
                <c:pt idx="646">
                  <c:v>#N/A</c:v>
                </c:pt>
                <c:pt idx="647">
                  <c:v>#N/A</c:v>
                </c:pt>
                <c:pt idx="648">
                  <c:v>#N/A</c:v>
                </c:pt>
                <c:pt idx="649">
                  <c:v>#N/A</c:v>
                </c:pt>
                <c:pt idx="650">
                  <c:v>19.999999999999954</c:v>
                </c:pt>
                <c:pt idx="651">
                  <c:v>#N/A</c:v>
                </c:pt>
                <c:pt idx="652">
                  <c:v>#N/A</c:v>
                </c:pt>
                <c:pt idx="653">
                  <c:v>#N/A</c:v>
                </c:pt>
                <c:pt idx="654">
                  <c:v>#N/A</c:v>
                </c:pt>
                <c:pt idx="655">
                  <c:v>#N/A</c:v>
                </c:pt>
                <c:pt idx="656">
                  <c:v>#N/A</c:v>
                </c:pt>
                <c:pt idx="657">
                  <c:v>#N/A</c:v>
                </c:pt>
                <c:pt idx="658">
                  <c:v>#N/A</c:v>
                </c:pt>
                <c:pt idx="659">
                  <c:v>#N/A</c:v>
                </c:pt>
                <c:pt idx="660">
                  <c:v>20.999999999999968</c:v>
                </c:pt>
                <c:pt idx="661">
                  <c:v>#N/A</c:v>
                </c:pt>
                <c:pt idx="662">
                  <c:v>#N/A</c:v>
                </c:pt>
                <c:pt idx="663">
                  <c:v>#N/A</c:v>
                </c:pt>
                <c:pt idx="664">
                  <c:v>#N/A</c:v>
                </c:pt>
                <c:pt idx="665">
                  <c:v>#N/A</c:v>
                </c:pt>
                <c:pt idx="666">
                  <c:v>#N/A</c:v>
                </c:pt>
                <c:pt idx="667">
                  <c:v>#N/A</c:v>
                </c:pt>
                <c:pt idx="668">
                  <c:v>#N/A</c:v>
                </c:pt>
                <c:pt idx="669">
                  <c:v>#N/A</c:v>
                </c:pt>
                <c:pt idx="670">
                  <c:v>21.999999999999982</c:v>
                </c:pt>
                <c:pt idx="671">
                  <c:v>#N/A</c:v>
                </c:pt>
                <c:pt idx="672">
                  <c:v>#N/A</c:v>
                </c:pt>
                <c:pt idx="673">
                  <c:v>#N/A</c:v>
                </c:pt>
                <c:pt idx="674">
                  <c:v>#N/A</c:v>
                </c:pt>
                <c:pt idx="675">
                  <c:v>#N/A</c:v>
                </c:pt>
                <c:pt idx="676">
                  <c:v>#N/A</c:v>
                </c:pt>
                <c:pt idx="677">
                  <c:v>#N/A</c:v>
                </c:pt>
                <c:pt idx="678">
                  <c:v>#N/A</c:v>
                </c:pt>
                <c:pt idx="679">
                  <c:v>#N/A</c:v>
                </c:pt>
                <c:pt idx="680">
                  <c:v>22.999999999999996</c:v>
                </c:pt>
                <c:pt idx="681">
                  <c:v>#N/A</c:v>
                </c:pt>
                <c:pt idx="682">
                  <c:v>#N/A</c:v>
                </c:pt>
                <c:pt idx="683">
                  <c:v>#N/A</c:v>
                </c:pt>
                <c:pt idx="684">
                  <c:v>#N/A</c:v>
                </c:pt>
                <c:pt idx="685">
                  <c:v>#N/A</c:v>
                </c:pt>
                <c:pt idx="686">
                  <c:v>#N/A</c:v>
                </c:pt>
                <c:pt idx="687">
                  <c:v>#N/A</c:v>
                </c:pt>
                <c:pt idx="688">
                  <c:v>#N/A</c:v>
                </c:pt>
                <c:pt idx="689">
                  <c:v>#N/A</c:v>
                </c:pt>
                <c:pt idx="690">
                  <c:v>24.000000000000011</c:v>
                </c:pt>
                <c:pt idx="691">
                  <c:v>#N/A</c:v>
                </c:pt>
                <c:pt idx="692">
                  <c:v>#N/A</c:v>
                </c:pt>
                <c:pt idx="693">
                  <c:v>#N/A</c:v>
                </c:pt>
                <c:pt idx="694">
                  <c:v>#N/A</c:v>
                </c:pt>
                <c:pt idx="695">
                  <c:v>#N/A</c:v>
                </c:pt>
                <c:pt idx="696">
                  <c:v>#N/A</c:v>
                </c:pt>
                <c:pt idx="697">
                  <c:v>#N/A</c:v>
                </c:pt>
                <c:pt idx="698">
                  <c:v>#N/A</c:v>
                </c:pt>
                <c:pt idx="699">
                  <c:v>#N/A</c:v>
                </c:pt>
                <c:pt idx="700">
                  <c:v>25.000000000000025</c:v>
                </c:pt>
                <c:pt idx="701">
                  <c:v>#N/A</c:v>
                </c:pt>
                <c:pt idx="702">
                  <c:v>#N/A</c:v>
                </c:pt>
                <c:pt idx="703">
                  <c:v>#N/A</c:v>
                </c:pt>
                <c:pt idx="704">
                  <c:v>#N/A</c:v>
                </c:pt>
                <c:pt idx="705">
                  <c:v>#N/A</c:v>
                </c:pt>
                <c:pt idx="706">
                  <c:v>#N/A</c:v>
                </c:pt>
                <c:pt idx="707">
                  <c:v>#N/A</c:v>
                </c:pt>
                <c:pt idx="708">
                  <c:v>#N/A</c:v>
                </c:pt>
                <c:pt idx="709">
                  <c:v>#N/A</c:v>
                </c:pt>
                <c:pt idx="710">
                  <c:v>26.000000000000039</c:v>
                </c:pt>
                <c:pt idx="711">
                  <c:v>#N/A</c:v>
                </c:pt>
                <c:pt idx="712">
                  <c:v>#N/A</c:v>
                </c:pt>
                <c:pt idx="713">
                  <c:v>#N/A</c:v>
                </c:pt>
                <c:pt idx="714">
                  <c:v>#N/A</c:v>
                </c:pt>
                <c:pt idx="715">
                  <c:v>#N/A</c:v>
                </c:pt>
                <c:pt idx="716">
                  <c:v>#N/A</c:v>
                </c:pt>
                <c:pt idx="717">
                  <c:v>#N/A</c:v>
                </c:pt>
                <c:pt idx="718">
                  <c:v>#N/A</c:v>
                </c:pt>
                <c:pt idx="719">
                  <c:v>#N/A</c:v>
                </c:pt>
                <c:pt idx="720">
                  <c:v>27.000000000000053</c:v>
                </c:pt>
                <c:pt idx="721">
                  <c:v>#N/A</c:v>
                </c:pt>
                <c:pt idx="722">
                  <c:v>#N/A</c:v>
                </c:pt>
                <c:pt idx="723">
                  <c:v>#N/A</c:v>
                </c:pt>
                <c:pt idx="724">
                  <c:v>#N/A</c:v>
                </c:pt>
                <c:pt idx="725">
                  <c:v>#N/A</c:v>
                </c:pt>
                <c:pt idx="726">
                  <c:v>#N/A</c:v>
                </c:pt>
                <c:pt idx="727">
                  <c:v>#N/A</c:v>
                </c:pt>
                <c:pt idx="728">
                  <c:v>#N/A</c:v>
                </c:pt>
                <c:pt idx="729">
                  <c:v>#N/A</c:v>
                </c:pt>
                <c:pt idx="730">
                  <c:v>28.000000000000068</c:v>
                </c:pt>
                <c:pt idx="731">
                  <c:v>#N/A</c:v>
                </c:pt>
                <c:pt idx="732">
                  <c:v>#N/A</c:v>
                </c:pt>
                <c:pt idx="733">
                  <c:v>#N/A</c:v>
                </c:pt>
                <c:pt idx="734">
                  <c:v>#N/A</c:v>
                </c:pt>
                <c:pt idx="735">
                  <c:v>#N/A</c:v>
                </c:pt>
                <c:pt idx="736">
                  <c:v>#N/A</c:v>
                </c:pt>
                <c:pt idx="737">
                  <c:v>#N/A</c:v>
                </c:pt>
                <c:pt idx="738">
                  <c:v>#N/A</c:v>
                </c:pt>
                <c:pt idx="739">
                  <c:v>#N/A</c:v>
                </c:pt>
                <c:pt idx="740">
                  <c:v>29.000000000000082</c:v>
                </c:pt>
                <c:pt idx="741">
                  <c:v>#N/A</c:v>
                </c:pt>
                <c:pt idx="742">
                  <c:v>#N/A</c:v>
                </c:pt>
                <c:pt idx="743">
                  <c:v>#N/A</c:v>
                </c:pt>
                <c:pt idx="744">
                  <c:v>#N/A</c:v>
                </c:pt>
                <c:pt idx="745">
                  <c:v>#N/A</c:v>
                </c:pt>
                <c:pt idx="746">
                  <c:v>#N/A</c:v>
                </c:pt>
                <c:pt idx="747">
                  <c:v>#N/A</c:v>
                </c:pt>
                <c:pt idx="748">
                  <c:v>#N/A</c:v>
                </c:pt>
                <c:pt idx="749">
                  <c:v>#N/A</c:v>
                </c:pt>
                <c:pt idx="750">
                  <c:v>30.000000000000096</c:v>
                </c:pt>
                <c:pt idx="751">
                  <c:v>#N/A</c:v>
                </c:pt>
                <c:pt idx="752">
                  <c:v>#N/A</c:v>
                </c:pt>
                <c:pt idx="753">
                  <c:v>#N/A</c:v>
                </c:pt>
                <c:pt idx="754">
                  <c:v>#N/A</c:v>
                </c:pt>
                <c:pt idx="755">
                  <c:v>#N/A</c:v>
                </c:pt>
                <c:pt idx="756">
                  <c:v>#N/A</c:v>
                </c:pt>
                <c:pt idx="757">
                  <c:v>#N/A</c:v>
                </c:pt>
                <c:pt idx="758">
                  <c:v>#N/A</c:v>
                </c:pt>
                <c:pt idx="759">
                  <c:v>#N/A</c:v>
                </c:pt>
                <c:pt idx="760">
                  <c:v>31.00000000000011</c:v>
                </c:pt>
                <c:pt idx="761">
                  <c:v>#N/A</c:v>
                </c:pt>
                <c:pt idx="762">
                  <c:v>#N/A</c:v>
                </c:pt>
                <c:pt idx="763">
                  <c:v>#N/A</c:v>
                </c:pt>
                <c:pt idx="764">
                  <c:v>#N/A</c:v>
                </c:pt>
                <c:pt idx="765">
                  <c:v>#N/A</c:v>
                </c:pt>
                <c:pt idx="766">
                  <c:v>#N/A</c:v>
                </c:pt>
                <c:pt idx="767">
                  <c:v>#N/A</c:v>
                </c:pt>
                <c:pt idx="768">
                  <c:v>#N/A</c:v>
                </c:pt>
                <c:pt idx="769">
                  <c:v>#N/A</c:v>
                </c:pt>
                <c:pt idx="770">
                  <c:v>32.000000000000121</c:v>
                </c:pt>
                <c:pt idx="771">
                  <c:v>#N/A</c:v>
                </c:pt>
                <c:pt idx="772">
                  <c:v>#N/A</c:v>
                </c:pt>
                <c:pt idx="773">
                  <c:v>#N/A</c:v>
                </c:pt>
                <c:pt idx="774">
                  <c:v>#N/A</c:v>
                </c:pt>
                <c:pt idx="775">
                  <c:v>#N/A</c:v>
                </c:pt>
                <c:pt idx="776">
                  <c:v>#N/A</c:v>
                </c:pt>
                <c:pt idx="777">
                  <c:v>#N/A</c:v>
                </c:pt>
                <c:pt idx="778">
                  <c:v>#N/A</c:v>
                </c:pt>
                <c:pt idx="779">
                  <c:v>#N/A</c:v>
                </c:pt>
                <c:pt idx="780">
                  <c:v>33.000000000000135</c:v>
                </c:pt>
                <c:pt idx="781">
                  <c:v>#N/A</c:v>
                </c:pt>
                <c:pt idx="782">
                  <c:v>#N/A</c:v>
                </c:pt>
                <c:pt idx="783">
                  <c:v>#N/A</c:v>
                </c:pt>
                <c:pt idx="784">
                  <c:v>#N/A</c:v>
                </c:pt>
                <c:pt idx="785">
                  <c:v>#N/A</c:v>
                </c:pt>
                <c:pt idx="786">
                  <c:v>#N/A</c:v>
                </c:pt>
                <c:pt idx="787">
                  <c:v>#N/A</c:v>
                </c:pt>
                <c:pt idx="788">
                  <c:v>#N/A</c:v>
                </c:pt>
                <c:pt idx="789">
                  <c:v>#N/A</c:v>
                </c:pt>
                <c:pt idx="790">
                  <c:v>34.000000000000149</c:v>
                </c:pt>
                <c:pt idx="791">
                  <c:v>#N/A</c:v>
                </c:pt>
                <c:pt idx="792">
                  <c:v>#N/A</c:v>
                </c:pt>
                <c:pt idx="793">
                  <c:v>#N/A</c:v>
                </c:pt>
                <c:pt idx="794">
                  <c:v>#N/A</c:v>
                </c:pt>
                <c:pt idx="795">
                  <c:v>#N/A</c:v>
                </c:pt>
                <c:pt idx="796">
                  <c:v>#N/A</c:v>
                </c:pt>
                <c:pt idx="797">
                  <c:v>#N/A</c:v>
                </c:pt>
                <c:pt idx="798">
                  <c:v>#N/A</c:v>
                </c:pt>
                <c:pt idx="799">
                  <c:v>#N/A</c:v>
                </c:pt>
                <c:pt idx="800">
                  <c:v>35.000000000000163</c:v>
                </c:pt>
                <c:pt idx="801">
                  <c:v>#N/A</c:v>
                </c:pt>
                <c:pt idx="802">
                  <c:v>#N/A</c:v>
                </c:pt>
                <c:pt idx="803">
                  <c:v>#N/A</c:v>
                </c:pt>
                <c:pt idx="804">
                  <c:v>#N/A</c:v>
                </c:pt>
                <c:pt idx="805">
                  <c:v>#N/A</c:v>
                </c:pt>
                <c:pt idx="806">
                  <c:v>#N/A</c:v>
                </c:pt>
                <c:pt idx="807">
                  <c:v>#N/A</c:v>
                </c:pt>
                <c:pt idx="808">
                  <c:v>#N/A</c:v>
                </c:pt>
                <c:pt idx="809">
                  <c:v>#N/A</c:v>
                </c:pt>
                <c:pt idx="810">
                  <c:v>36.000000000000178</c:v>
                </c:pt>
                <c:pt idx="811">
                  <c:v>#N/A</c:v>
                </c:pt>
                <c:pt idx="812">
                  <c:v>#N/A</c:v>
                </c:pt>
                <c:pt idx="813">
                  <c:v>#N/A</c:v>
                </c:pt>
                <c:pt idx="814">
                  <c:v>#N/A</c:v>
                </c:pt>
                <c:pt idx="815">
                  <c:v>#N/A</c:v>
                </c:pt>
                <c:pt idx="816">
                  <c:v>#N/A</c:v>
                </c:pt>
                <c:pt idx="817">
                  <c:v>#N/A</c:v>
                </c:pt>
                <c:pt idx="818">
                  <c:v>#N/A</c:v>
                </c:pt>
                <c:pt idx="819">
                  <c:v>#N/A</c:v>
                </c:pt>
                <c:pt idx="820">
                  <c:v>37.000000000000192</c:v>
                </c:pt>
                <c:pt idx="821">
                  <c:v>#N/A</c:v>
                </c:pt>
                <c:pt idx="822">
                  <c:v>#N/A</c:v>
                </c:pt>
                <c:pt idx="823">
                  <c:v>#N/A</c:v>
                </c:pt>
                <c:pt idx="824">
                  <c:v>#N/A</c:v>
                </c:pt>
                <c:pt idx="825">
                  <c:v>#N/A</c:v>
                </c:pt>
                <c:pt idx="826">
                  <c:v>#N/A</c:v>
                </c:pt>
                <c:pt idx="827">
                  <c:v>#N/A</c:v>
                </c:pt>
                <c:pt idx="828">
                  <c:v>#N/A</c:v>
                </c:pt>
                <c:pt idx="829">
                  <c:v>#N/A</c:v>
                </c:pt>
                <c:pt idx="830">
                  <c:v>38.000000000000206</c:v>
                </c:pt>
                <c:pt idx="831">
                  <c:v>#N/A</c:v>
                </c:pt>
                <c:pt idx="832">
                  <c:v>#N/A</c:v>
                </c:pt>
                <c:pt idx="833">
                  <c:v>#N/A</c:v>
                </c:pt>
                <c:pt idx="834">
                  <c:v>#N/A</c:v>
                </c:pt>
                <c:pt idx="835">
                  <c:v>#N/A</c:v>
                </c:pt>
                <c:pt idx="836">
                  <c:v>#N/A</c:v>
                </c:pt>
                <c:pt idx="837">
                  <c:v>#N/A</c:v>
                </c:pt>
                <c:pt idx="838">
                  <c:v>#N/A</c:v>
                </c:pt>
                <c:pt idx="839">
                  <c:v>#N/A</c:v>
                </c:pt>
                <c:pt idx="840">
                  <c:v>39.00000000000022</c:v>
                </c:pt>
                <c:pt idx="841">
                  <c:v>#N/A</c:v>
                </c:pt>
                <c:pt idx="842">
                  <c:v>#N/A</c:v>
                </c:pt>
                <c:pt idx="843">
                  <c:v>#N/A</c:v>
                </c:pt>
                <c:pt idx="844">
                  <c:v>#N/A</c:v>
                </c:pt>
                <c:pt idx="845">
                  <c:v>#N/A</c:v>
                </c:pt>
                <c:pt idx="846">
                  <c:v>#N/A</c:v>
                </c:pt>
                <c:pt idx="847">
                  <c:v>#N/A</c:v>
                </c:pt>
                <c:pt idx="848">
                  <c:v>#N/A</c:v>
                </c:pt>
                <c:pt idx="849">
                  <c:v>#N/A</c:v>
                </c:pt>
                <c:pt idx="850">
                  <c:v>40.000000000000234</c:v>
                </c:pt>
                <c:pt idx="851">
                  <c:v>#N/A</c:v>
                </c:pt>
                <c:pt idx="852">
                  <c:v>#N/A</c:v>
                </c:pt>
                <c:pt idx="853">
                  <c:v>#N/A</c:v>
                </c:pt>
                <c:pt idx="854">
                  <c:v>#N/A</c:v>
                </c:pt>
                <c:pt idx="855">
                  <c:v>#N/A</c:v>
                </c:pt>
                <c:pt idx="856">
                  <c:v>#N/A</c:v>
                </c:pt>
                <c:pt idx="857">
                  <c:v>#N/A</c:v>
                </c:pt>
                <c:pt idx="858">
                  <c:v>#N/A</c:v>
                </c:pt>
                <c:pt idx="859">
                  <c:v>#N/A</c:v>
                </c:pt>
                <c:pt idx="860">
                  <c:v>41.000000000000249</c:v>
                </c:pt>
                <c:pt idx="861">
                  <c:v>#N/A</c:v>
                </c:pt>
                <c:pt idx="862">
                  <c:v>#N/A</c:v>
                </c:pt>
                <c:pt idx="863">
                  <c:v>#N/A</c:v>
                </c:pt>
                <c:pt idx="864">
                  <c:v>#N/A</c:v>
                </c:pt>
                <c:pt idx="865">
                  <c:v>#N/A</c:v>
                </c:pt>
                <c:pt idx="866">
                  <c:v>#N/A</c:v>
                </c:pt>
                <c:pt idx="867">
                  <c:v>#N/A</c:v>
                </c:pt>
                <c:pt idx="868">
                  <c:v>#N/A</c:v>
                </c:pt>
                <c:pt idx="869">
                  <c:v>#N/A</c:v>
                </c:pt>
                <c:pt idx="870">
                  <c:v>42.000000000000263</c:v>
                </c:pt>
                <c:pt idx="871">
                  <c:v>#N/A</c:v>
                </c:pt>
                <c:pt idx="872">
                  <c:v>#N/A</c:v>
                </c:pt>
                <c:pt idx="873">
                  <c:v>#N/A</c:v>
                </c:pt>
                <c:pt idx="874">
                  <c:v>#N/A</c:v>
                </c:pt>
                <c:pt idx="875">
                  <c:v>#N/A</c:v>
                </c:pt>
                <c:pt idx="876">
                  <c:v>#N/A</c:v>
                </c:pt>
                <c:pt idx="877">
                  <c:v>#N/A</c:v>
                </c:pt>
                <c:pt idx="878">
                  <c:v>#N/A</c:v>
                </c:pt>
                <c:pt idx="879">
                  <c:v>#N/A</c:v>
                </c:pt>
                <c:pt idx="880">
                  <c:v>43.000000000000277</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2.6452165658300903E-4</c:v>
                </c:pt>
                <c:pt idx="2">
                  <c:v>1.8747213115951592E-3</c:v>
                </c:pt>
                <c:pt idx="3">
                  <c:v>5.9861442544103249E-3</c:v>
                </c:pt>
                <c:pt idx="4">
                  <c:v>1.3276817814292706E-2</c:v>
                </c:pt>
                <c:pt idx="5">
                  <c:v>2.4425215615250705E-2</c:v>
                </c:pt>
                <c:pt idx="6">
                  <c:v>4.0110325488383718E-2</c:v>
                </c:pt>
                <c:pt idx="7">
                  <c:v>6.1011717008833427E-2</c:v>
                </c:pt>
                <c:pt idx="8">
                  <c:v>8.780960867822267E-2</c:v>
                </c:pt>
                <c:pt idx="9">
                  <c:v>0.12118493477305489</c:v>
                </c:pt>
                <c:pt idx="10">
                  <c:v>0.16181941187915372</c:v>
                </c:pt>
                <c:pt idx="11">
                  <c:v>0.21020066472836854</c:v>
                </c:pt>
                <c:pt idx="12">
                  <c:v>0.26642697690046763</c:v>
                </c:pt>
                <c:pt idx="13">
                  <c:v>0.33040022988535855</c:v>
                </c:pt>
                <c:pt idx="14">
                  <c:v>0.40201918266339187</c:v>
                </c:pt>
                <c:pt idx="15">
                  <c:v>0.48118095439903419</c:v>
                </c:pt>
                <c:pt idx="16">
                  <c:v>0.56778250976729483</c:v>
                </c:pt>
                <c:pt idx="17">
                  <c:v>0.66172066136732088</c:v>
                </c:pt>
                <c:pt idx="18">
                  <c:v>0.76289207213410049</c:v>
                </c:pt>
                <c:pt idx="19">
                  <c:v>0.87119325774803302</c:v>
                </c:pt>
                <c:pt idx="20">
                  <c:v>0.98652058904212536</c:v>
                </c:pt>
                <c:pt idx="21">
                  <c:v>1.1087702944065749</c:v>
                </c:pt>
                <c:pt idx="22">
                  <c:v>1.2378384621905032</c:v>
                </c:pt>
                <c:pt idx="23">
                  <c:v>1.3736210431006013</c:v>
                </c:pt>
                <c:pt idx="24">
                  <c:v>1.5160138525964557</c:v>
                </c:pt>
                <c:pt idx="25">
                  <c:v>1.6649125732823176</c:v>
                </c:pt>
                <c:pt idx="26">
                  <c:v>1.8202127572950877</c:v>
                </c:pt>
                <c:pt idx="27">
                  <c:v>1.9818359875719997</c:v>
                </c:pt>
                <c:pt idx="28">
                  <c:v>2.1497560753556342</c:v>
                </c:pt>
                <c:pt idx="29">
                  <c:v>2.3239729563518665</c:v>
                </c:pt>
                <c:pt idx="30">
                  <c:v>2.5044865494497888</c:v>
                </c:pt>
                <c:pt idx="31">
                  <c:v>2.6912967567064605</c:v>
                </c:pt>
                <c:pt idx="32">
                  <c:v>2.8844034633318785</c:v>
                </c:pt>
                <c:pt idx="33">
                  <c:v>3.0838065376741701</c:v>
                </c:pt>
                <c:pt idx="34">
                  <c:v>3.2895058312050081</c:v>
                </c:pt>
                <c:pt idx="35">
                  <c:v>3.5015011785052468</c:v>
                </c:pt>
                <c:pt idx="36">
                  <c:v>3.719792397250782</c:v>
                </c:pt>
                <c:pt idx="37">
                  <c:v>3.9443792881986361</c:v>
                </c:pt>
                <c:pt idx="38">
                  <c:v>4.1752468393287172</c:v>
                </c:pt>
                <c:pt idx="39">
                  <c:v>4.4123795689231065</c:v>
                </c:pt>
                <c:pt idx="40">
                  <c:v>4.6557763237240888</c:v>
                </c:pt>
                <c:pt idx="41">
                  <c:v>4.905435943895438</c:v>
                </c:pt>
                <c:pt idx="42">
                  <c:v>5.1613572684116509</c:v>
                </c:pt>
                <c:pt idx="43">
                  <c:v>5.4235391343909862</c:v>
                </c:pt>
                <c:pt idx="44">
                  <c:v>5.6919803764712604</c:v>
                </c:pt>
                <c:pt idx="45">
                  <c:v>5.9666798262247145</c:v>
                </c:pt>
                <c:pt idx="46">
                  <c:v>6.24763631160865</c:v>
                </c:pt>
                <c:pt idx="47">
                  <c:v>6.5348486564488955</c:v>
                </c:pt>
                <c:pt idx="48">
                  <c:v>6.8283156799534481</c:v>
                </c:pt>
                <c:pt idx="49">
                  <c:v>7.1280361962539267</c:v>
                </c:pt>
                <c:pt idx="50">
                  <c:v>7.4340090139726867</c:v>
                </c:pt>
                <c:pt idx="51">
                  <c:v>7.7462329358136586</c:v>
                </c:pt>
                <c:pt idx="52">
                  <c:v>8.0647067581751717</c:v>
                </c:pt>
                <c:pt idx="53">
                  <c:v>8.3894292707831539</c:v>
                </c:pt>
                <c:pt idx="54">
                  <c:v>8.7203992563432813</c:v>
                </c:pt>
                <c:pt idx="55">
                  <c:v>9.0576154902107557</c:v>
                </c:pt>
                <c:pt idx="56">
                  <c:v>9.4010767400764976</c:v>
                </c:pt>
                <c:pt idx="57">
                  <c:v>9.7507817656686875</c:v>
                </c:pt>
                <c:pt idx="58">
                  <c:v>10.106729318468615</c:v>
                </c:pt>
                <c:pt idx="59">
                  <c:v>10.468918141439941</c:v>
                </c:pt>
                <c:pt idx="60">
                  <c:v>10.837346968770524</c:v>
                </c:pt>
                <c:pt idx="61">
                  <c:v>11.212014525626016</c:v>
                </c:pt>
                <c:pt idx="62">
                  <c:v>11.592919527914532</c:v>
                </c:pt>
                <c:pt idx="63">
                  <c:v>11.980060682061726</c:v>
                </c:pt>
                <c:pt idx="64">
                  <c:v>12.373436684795646</c:v>
                </c:pt>
                <c:pt idx="65">
                  <c:v>12.773046222940831</c:v>
                </c:pt>
                <c:pt idx="66">
                  <c:v>13.17888797322111</c:v>
                </c:pt>
                <c:pt idx="67">
                  <c:v>13.590960602070622</c:v>
                </c:pt>
                <c:pt idx="68">
                  <c:v>14.009262765452601</c:v>
                </c:pt>
                <c:pt idx="69">
                  <c:v>14.433793108685522</c:v>
                </c:pt>
                <c:pt idx="70">
                  <c:v>14.864550266276204</c:v>
                </c:pt>
                <c:pt idx="71">
                  <c:v>15.30153286175951</c:v>
                </c:pt>
                <c:pt idx="72">
                  <c:v>15.74473921039629</c:v>
                </c:pt>
                <c:pt idx="73">
                  <c:v>16.1941670215645</c:v>
                </c:pt>
                <c:pt idx="74">
                  <c:v>16.64981369531241</c:v>
                </c:pt>
                <c:pt idx="75">
                  <c:v>17.111676619232473</c:v>
                </c:pt>
                <c:pt idx="76">
                  <c:v>17.579753168334534</c:v>
                </c:pt>
                <c:pt idx="77">
                  <c:v>18.054040704924116</c:v>
                </c:pt>
                <c:pt idx="78">
                  <c:v>18.534536578485511</c:v>
                </c:pt>
                <c:pt idx="79">
                  <c:v>19.021238125569482</c:v>
                </c:pt>
                <c:pt idx="80">
                  <c:v>19.514142669685356</c:v>
                </c:pt>
                <c:pt idx="81">
                  <c:v>20.013247521197304</c:v>
                </c:pt>
                <c:pt idx="82">
                  <c:v>20.518549977224648</c:v>
                </c:pt>
                <c:pt idx="83">
                  <c:v>21.030047321545993</c:v>
                </c:pt>
                <c:pt idx="84">
                  <c:v>21.547736824507041</c:v>
                </c:pt>
                <c:pt idx="85">
                  <c:v>22.071615742931925</c:v>
                </c:pt>
                <c:pt idx="86">
                  <c:v>22.601681320037926</c:v>
                </c:pt>
                <c:pt idx="87">
                  <c:v>23.137930785353412</c:v>
                </c:pt>
                <c:pt idx="88">
                  <c:v>23.680361354638897</c:v>
                </c:pt>
                <c:pt idx="89">
                  <c:v>24.228970229811086</c:v>
                </c:pt>
                <c:pt idx="90">
                  <c:v>24.783754598869791</c:v>
                </c:pt>
                <c:pt idx="91">
                  <c:v>25.344711635827593</c:v>
                </c:pt>
                <c:pt idx="92">
                  <c:v>25.911838500642183</c:v>
                </c:pt>
                <c:pt idx="93">
                  <c:v>26.485132339151235</c:v>
                </c:pt>
                <c:pt idx="94">
                  <c:v>27.064590283009771</c:v>
                </c:pt>
                <c:pt idx="95">
                  <c:v>27.650209449629873</c:v>
                </c:pt>
                <c:pt idx="96">
                  <c:v>28.241986942122701</c:v>
                </c:pt>
                <c:pt idx="97">
                  <c:v>28.839919849242715</c:v>
                </c:pt>
                <c:pt idx="98">
                  <c:v>29.444005245334044</c:v>
                </c:pt>
                <c:pt idx="99">
                  <c:v>30.054240190278886</c:v>
                </c:pt>
                <c:pt idx="100">
                  <c:v>30.670621729447941</c:v>
                </c:pt>
                <c:pt idx="101">
                  <c:v>31.293146893652736</c:v>
                </c:pt>
                <c:pt idx="102">
                  <c:v>31.921812699099831</c:v>
                </c:pt>
                <c:pt idx="103">
                  <c:v>32.556616147346823</c:v>
                </c:pt>
                <c:pt idx="104">
                  <c:v>33.197554225260106</c:v>
                </c:pt>
                <c:pt idx="105">
                  <c:v>33.844623904974306</c:v>
                </c:pt>
                <c:pt idx="106">
                  <c:v>34.497822143853369</c:v>
                </c:pt>
                <c:pt idx="107">
                  <c:v>35.157145884453257</c:v>
                </c:pt>
                <c:pt idx="108">
                  <c:v>35.822592054486151</c:v>
                </c:pt>
                <c:pt idx="109">
                  <c:v>36.494157566786164</c:v>
                </c:pt>
                <c:pt idx="110">
                  <c:v>37.171839319276536</c:v>
                </c:pt>
                <c:pt idx="111">
                  <c:v>37.855634194938219</c:v>
                </c:pt>
                <c:pt idx="112">
                  <c:v>38.54553906177982</c:v>
                </c:pt>
                <c:pt idx="113">
                  <c:v>39.241550772808921</c:v>
                </c:pt>
                <c:pt idx="114">
                  <c:v>39.943666166004668</c:v>
                </c:pt>
                <c:pt idx="115">
                  <c:v>40.651882064291641</c:v>
                </c:pt>
                <c:pt idx="116">
                  <c:v>41.366195275514919</c:v>
                </c:pt>
                <c:pt idx="117">
                  <c:v>42.086602592416405</c:v>
                </c:pt>
                <c:pt idx="118">
                  <c:v>42.813100792612275</c:v>
                </c:pt>
                <c:pt idx="119">
                  <c:v>43.54568663857156</c:v>
                </c:pt>
                <c:pt idx="120">
                  <c:v>44.284356877595876</c:v>
                </c:pt>
                <c:pt idx="121">
                  <c:v>45.029108241800195</c:v>
                </c:pt>
                <c:pt idx="122">
                  <c:v>45.779937448094699</c:v>
                </c:pt>
                <c:pt idx="123">
                  <c:v>46.536841198167657</c:v>
                </c:pt>
                <c:pt idx="124">
                  <c:v>47.299816178469307</c:v>
                </c:pt>
                <c:pt idx="125">
                  <c:v>48.068859060196708</c:v>
                </c:pt>
                <c:pt idx="126">
                  <c:v>48.843966499279595</c:v>
                </c:pt>
                <c:pt idx="127">
                  <c:v>49.62513513636712</c:v>
                </c:pt>
                <c:pt idx="128">
                  <c:v>50.412361596815529</c:v>
                </c:pt>
                <c:pt idx="129">
                  <c:v>51.205641130075634</c:v>
                </c:pt>
                <c:pt idx="130">
                  <c:v>52.004966247768643</c:v>
                </c:pt>
                <c:pt idx="131">
                  <c:v>52.810328082516584</c:v>
                </c:pt>
                <c:pt idx="132">
                  <c:v>53.621717748106796</c:v>
                </c:pt>
                <c:pt idx="133">
                  <c:v>54.439126339525743</c:v>
                </c:pt>
                <c:pt idx="134">
                  <c:v>55.262544932993777</c:v>
                </c:pt>
                <c:pt idx="135">
                  <c:v>56.091964586000927</c:v>
                </c:pt>
                <c:pt idx="136">
                  <c:v>56.927376337343617</c:v>
                </c:pt>
                <c:pt idx="137">
                  <c:v>57.768771207162288</c:v>
                </c:pt>
                <c:pt idx="138">
                  <c:v>58.616140196979977</c:v>
                </c:pt>
                <c:pt idx="139">
                  <c:v>59.46947428974174</c:v>
                </c:pt>
                <c:pt idx="140">
                  <c:v>60.328764449854958</c:v>
                </c:pt>
                <c:pt idx="141">
                  <c:v>61.194001623230506</c:v>
                </c:pt>
                <c:pt idx="142">
                  <c:v>62.06517673732472</c:v>
                </c:pt>
                <c:pt idx="143">
                  <c:v>62.942280701182206</c:v>
                </c:pt>
                <c:pt idx="144">
                  <c:v>63.825304405479422</c:v>
                </c:pt>
                <c:pt idx="145">
                  <c:v>64.71423872256905</c:v>
                </c:pt>
                <c:pt idx="146">
                  <c:v>65.609074506525104</c:v>
                </c:pt>
                <c:pt idx="147">
                  <c:v>66.509802593188823</c:v>
                </c:pt>
                <c:pt idx="148">
                  <c:v>67.416413800215238</c:v>
                </c:pt>
                <c:pt idx="149">
                  <c:v>68.328898927120534</c:v>
                </c:pt>
                <c:pt idx="150">
                  <c:v>69.247248755330006</c:v>
                </c:pt>
                <c:pt idx="151">
                  <c:v>70.171454048226764</c:v>
                </c:pt>
                <c:pt idx="152">
                  <c:v>71.101505551201114</c:v>
                </c:pt>
                <c:pt idx="153">
                  <c:v>72.037393991700569</c:v>
                </c:pt>
                <c:pt idx="154">
                  <c:v>72.979110079280517</c:v>
                </c:pt>
                <c:pt idx="155">
                  <c:v>73.926644505655489</c:v>
                </c:pt>
                <c:pt idx="156">
                  <c:v>74.879987944751093</c:v>
                </c:pt>
                <c:pt idx="157">
                  <c:v>75.839131052756542</c:v>
                </c:pt>
                <c:pt idx="158">
                  <c:v>76.804064468177742</c:v>
                </c:pt>
                <c:pt idx="159">
                  <c:v>77.774778811890997</c:v>
                </c:pt>
                <c:pt idx="160">
                  <c:v>78.751264687197249</c:v>
                </c:pt>
                <c:pt idx="161">
                  <c:v>79.733512679876952</c:v>
                </c:pt>
                <c:pt idx="162">
                  <c:v>80.721513358245417</c:v>
                </c:pt>
                <c:pt idx="163">
                  <c:v>81.715257273208707</c:v>
                </c:pt>
                <c:pt idx="164">
                  <c:v>82.714734958320108</c:v>
                </c:pt>
                <c:pt idx="165">
                  <c:v>83.719936929837061</c:v>
                </c:pt>
                <c:pt idx="166">
                  <c:v>84.730853686778673</c:v>
                </c:pt>
                <c:pt idx="167">
                  <c:v>85.74747571098365</c:v>
                </c:pt>
                <c:pt idx="168">
                  <c:v>86.769793467168739</c:v>
                </c:pt>
                <c:pt idx="169">
                  <c:v>87.797797402987726</c:v>
                </c:pt>
                <c:pt idx="170">
                  <c:v>88.831477949090768</c:v>
                </c:pt>
                <c:pt idx="171">
                  <c:v>89.870825519184336</c:v>
                </c:pt>
                <c:pt idx="172">
                  <c:v>90.915830510091496</c:v>
                </c:pt>
                <c:pt idx="173">
                  <c:v>91.966483301812701</c:v>
                </c:pt>
                <c:pt idx="174">
                  <c:v>93.022774257586988</c:v>
                </c:pt>
                <c:pt idx="175">
                  <c:v>94.084693723953635</c:v>
                </c:pt>
                <c:pt idx="176">
                  <c:v>95.152232030814204</c:v>
                </c:pt>
                <c:pt idx="177">
                  <c:v>96.225379491495033</c:v>
                </c:pt>
                <c:pt idx="178">
                  <c:v>97.304126402810084</c:v>
                </c:pt>
                <c:pt idx="179">
                  <c:v>98.388463045124269</c:v>
                </c:pt>
                <c:pt idx="180">
                  <c:v>99.478379682417099</c:v>
                </c:pt>
                <c:pt idx="181">
                  <c:v>100.57386656234674</c:v>
                </c:pt>
                <c:pt idx="182">
                  <c:v>101.67491391631442</c:v>
                </c:pt>
                <c:pt idx="183">
                  <c:v>102.78151195952928</c:v>
                </c:pt>
                <c:pt idx="184">
                  <c:v>103.89365089107352</c:v>
                </c:pt>
                <c:pt idx="185">
                  <c:v>105.01132089396792</c:v>
                </c:pt>
                <c:pt idx="186">
                  <c:v>106.13451213523769</c:v>
                </c:pt>
                <c:pt idx="187">
                  <c:v>107.26321476597873</c:v>
                </c:pt>
                <c:pt idx="188">
                  <c:v>108.39741892142416</c:v>
                </c:pt>
                <c:pt idx="189">
                  <c:v>109.53711472101122</c:v>
                </c:pt>
                <c:pt idx="190">
                  <c:v>110.68229226844845</c:v>
                </c:pt>
                <c:pt idx="191">
                  <c:v>111.83294165178324</c:v>
                </c:pt>
                <c:pt idx="192">
                  <c:v>112.9890529434697</c:v>
                </c:pt>
                <c:pt idx="193">
                  <c:v>114.15061620043674</c:v>
                </c:pt>
                <c:pt idx="194">
                  <c:v>115.31762146415659</c:v>
                </c:pt>
                <c:pt idx="195">
                  <c:v>116.49005876071348</c:v>
                </c:pt>
                <c:pt idx="196">
                  <c:v>117.66791810087275</c:v>
                </c:pt>
                <c:pt idx="197">
                  <c:v>118.85118948015013</c:v>
                </c:pt>
                <c:pt idx="198">
                  <c:v>120.03986287888128</c:v>
                </c:pt>
                <c:pt idx="199">
                  <c:v>121.2339282622918</c:v>
                </c:pt>
                <c:pt idx="200">
                  <c:v>122.43337558056723</c:v>
                </c:pt>
                <c:pt idx="201">
                  <c:v>123.63819476892355</c:v>
                </c:pt>
                <c:pt idx="202">
                  <c:v>124.84837574767781</c:v>
                </c:pt>
                <c:pt idx="203">
                  <c:v>126.06390842231899</c:v>
                </c:pt>
                <c:pt idx="204">
                  <c:v>127.28478268357927</c:v>
                </c:pt>
                <c:pt idx="205">
                  <c:v>128.51098840750535</c:v>
                </c:pt>
                <c:pt idx="206">
                  <c:v>129.74251512626549</c:v>
                </c:pt>
                <c:pt idx="207">
                  <c:v>130.97935169872864</c:v>
                </c:pt>
                <c:pt idx="208">
                  <c:v>132.22148663954596</c:v>
                </c:pt>
                <c:pt idx="209">
                  <c:v>133.46890844846675</c:v>
                </c:pt>
                <c:pt idx="210">
                  <c:v>134.7216056104229</c:v>
                </c:pt>
                <c:pt idx="211">
                  <c:v>135.97956659561365</c:v>
                </c:pt>
                <c:pt idx="212">
                  <c:v>137.24277985959051</c:v>
                </c:pt>
                <c:pt idx="213">
                  <c:v>138.51123384334235</c:v>
                </c:pt>
                <c:pt idx="214">
                  <c:v>139.78491697338069</c:v>
                </c:pt>
                <c:pt idx="215">
                  <c:v>141.0638176618252</c:v>
                </c:pt>
                <c:pt idx="216">
                  <c:v>142.34792430648938</c:v>
                </c:pt>
                <c:pt idx="217">
                  <c:v>143.63722529096634</c:v>
                </c:pt>
                <c:pt idx="218">
                  <c:v>144.93170898471493</c:v>
                </c:pt>
                <c:pt idx="219">
                  <c:v>146.23136374314575</c:v>
                </c:pt>
                <c:pt idx="220">
                  <c:v>147.53617790770755</c:v>
                </c:pt>
                <c:pt idx="221">
                  <c:v>148.84613980597379</c:v>
                </c:pt>
                <c:pt idx="222">
                  <c:v>150.16123775172917</c:v>
                </c:pt>
                <c:pt idx="223">
                  <c:v>151.48146004505645</c:v>
                </c:pt>
                <c:pt idx="224">
                  <c:v>152.80679497242335</c:v>
                </c:pt>
                <c:pt idx="225">
                  <c:v>154.13723080676965</c:v>
                </c:pt>
                <c:pt idx="226">
                  <c:v>155.47275580759438</c:v>
                </c:pt>
                <c:pt idx="227">
                  <c:v>156.81335822104313</c:v>
                </c:pt>
                <c:pt idx="228">
                  <c:v>158.15902627999543</c:v>
                </c:pt>
                <c:pt idx="229">
                  <c:v>159.5097482041524</c:v>
                </c:pt>
                <c:pt idx="230">
                  <c:v>160.86551220012439</c:v>
                </c:pt>
                <c:pt idx="231">
                  <c:v>162.22630646151876</c:v>
                </c:pt>
                <c:pt idx="232">
                  <c:v>163.5921191690278</c:v>
                </c:pt>
                <c:pt idx="233">
                  <c:v>164.96293849051671</c:v>
                </c:pt>
                <c:pt idx="234">
                  <c:v>166.33875258111166</c:v>
                </c:pt>
                <c:pt idx="235">
                  <c:v>167.71954958328806</c:v>
                </c:pt>
                <c:pt idx="236">
                  <c:v>169.10531762695871</c:v>
                </c:pt>
                <c:pt idx="237">
                  <c:v>170.49604482956232</c:v>
                </c:pt>
                <c:pt idx="238">
                  <c:v>171.89171929615185</c:v>
                </c:pt>
                <c:pt idx="239">
                  <c:v>173.29232911948304</c:v>
                </c:pt>
                <c:pt idx="240">
                  <c:v>174.69786238010306</c:v>
                </c:pt>
                <c:pt idx="241">
                  <c:v>176.1083071464391</c:v>
                </c:pt>
                <c:pt idx="242">
                  <c:v>177.52365033978674</c:v>
                </c:pt>
                <c:pt idx="243">
                  <c:v>178.94387659867462</c:v>
                </c:pt>
                <c:pt idx="244">
                  <c:v>180.36896941347234</c:v>
                </c:pt>
                <c:pt idx="245">
                  <c:v>181.79891226164392</c:v>
                </c:pt>
                <c:pt idx="246">
                  <c:v>183.23368860788108</c:v>
                </c:pt>
                <c:pt idx="247">
                  <c:v>184.6732819042364</c:v>
                </c:pt>
                <c:pt idx="248">
                  <c:v>186.11767559025643</c:v>
                </c:pt>
                <c:pt idx="249">
                  <c:v>187.56685309311473</c:v>
                </c:pt>
                <c:pt idx="250">
                  <c:v>189.0207978277449</c:v>
                </c:pt>
                <c:pt idx="251">
                  <c:v>190.47949319697344</c:v>
                </c:pt>
                <c:pt idx="252">
                  <c:v>191.94292259165258</c:v>
                </c:pt>
                <c:pt idx="253">
                  <c:v>193.41106939079299</c:v>
                </c:pt>
                <c:pt idx="254">
                  <c:v>194.88391696169643</c:v>
                </c:pt>
                <c:pt idx="255">
                  <c:v>196.36144866008826</c:v>
                </c:pt>
                <c:pt idx="256">
                  <c:v>197.84364783024986</c:v>
                </c:pt>
                <c:pt idx="257">
                  <c:v>199.330497805151</c:v>
                </c:pt>
                <c:pt idx="258">
                  <c:v>200.82198190658195</c:v>
                </c:pt>
                <c:pt idx="259">
                  <c:v>202.31808344528565</c:v>
                </c:pt>
                <c:pt idx="260">
                  <c:v>203.8187857210896</c:v>
                </c:pt>
                <c:pt idx="261">
                  <c:v>205.3240720230377</c:v>
                </c:pt>
                <c:pt idx="262">
                  <c:v>206.83392562952199</c:v>
                </c:pt>
                <c:pt idx="263">
                  <c:v>208.34832980841406</c:v>
                </c:pt>
                <c:pt idx="264">
                  <c:v>209.86726781719665</c:v>
                </c:pt>
                <c:pt idx="265">
                  <c:v>211.39072290309468</c:v>
                </c:pt>
                <c:pt idx="266">
                  <c:v>212.91867830320658</c:v>
                </c:pt>
                <c:pt idx="267">
                  <c:v>214.45111724463501</c:v>
                </c:pt>
                <c:pt idx="268">
                  <c:v>215.9880229446178</c:v>
                </c:pt>
                <c:pt idx="269">
                  <c:v>217.52937861065845</c:v>
                </c:pt>
                <c:pt idx="270">
                  <c:v>219.07516744065666</c:v>
                </c:pt>
                <c:pt idx="271">
                  <c:v>220.62537262303846</c:v>
                </c:pt>
                <c:pt idx="272">
                  <c:v>222.1799773368864</c:v>
                </c:pt>
                <c:pt idx="273">
                  <c:v>223.73896475206939</c:v>
                </c:pt>
                <c:pt idx="274">
                  <c:v>225.30231802937243</c:v>
                </c:pt>
                <c:pt idx="275">
                  <c:v>226.87002032062603</c:v>
                </c:pt>
                <c:pt idx="276">
                  <c:v>228.44205476883556</c:v>
                </c:pt>
                <c:pt idx="277">
                  <c:v>230.0184045083104</c:v>
                </c:pt>
                <c:pt idx="278">
                  <c:v>231.59905266479277</c:v>
                </c:pt>
                <c:pt idx="279">
                  <c:v>233.18398235558641</c:v>
                </c:pt>
                <c:pt idx="280">
                  <c:v>234.77317668968504</c:v>
                </c:pt>
                <c:pt idx="281">
                  <c:v>236.36661876790069</c:v>
                </c:pt>
                <c:pt idx="282">
                  <c:v>237.96429168299159</c:v>
                </c:pt>
                <c:pt idx="283">
                  <c:v>239.56617851979001</c:v>
                </c:pt>
                <c:pt idx="284">
                  <c:v>241.17226368396624</c:v>
                </c:pt>
                <c:pt idx="285">
                  <c:v>242.78253423125224</c:v>
                </c:pt>
                <c:pt idx="286">
                  <c:v>244.39697853914555</c:v>
                </c:pt>
                <c:pt idx="287">
                  <c:v>246.01558497812849</c:v>
                </c:pt>
                <c:pt idx="288">
                  <c:v>247.63834191174709</c:v>
                </c:pt>
                <c:pt idx="289">
                  <c:v>249.26523769668998</c:v>
                </c:pt>
                <c:pt idx="290">
                  <c:v>250.89626068286705</c:v>
                </c:pt>
                <c:pt idx="291">
                  <c:v>252.53139921348813</c:v>
                </c:pt>
                <c:pt idx="292">
                  <c:v>254.17064162514157</c:v>
                </c:pt>
                <c:pt idx="293">
                  <c:v>255.81397624787272</c:v>
                </c:pt>
                <c:pt idx="294">
                  <c:v>257.46139140526225</c:v>
                </c:pt>
                <c:pt idx="295">
                  <c:v>259.11287541450451</c:v>
                </c:pt>
                <c:pt idx="296">
                  <c:v>260.76841658648567</c:v>
                </c:pt>
                <c:pt idx="297">
                  <c:v>262.4280032258618</c:v>
                </c:pt>
                <c:pt idx="298">
                  <c:v>264.09162363113694</c:v>
                </c:pt>
                <c:pt idx="299">
                  <c:v>265.75926609474089</c:v>
                </c:pt>
                <c:pt idx="300">
                  <c:v>267.430918903107</c:v>
                </c:pt>
                <c:pt idx="301">
                  <c:v>269.10657033674994</c:v>
                </c:pt>
                <c:pt idx="302">
                  <c:v>270.78620867034311</c:v>
                </c:pt>
                <c:pt idx="303">
                  <c:v>272.46982217279623</c:v>
                </c:pt>
                <c:pt idx="304">
                  <c:v>274.15739910733254</c:v>
                </c:pt>
                <c:pt idx="305">
                  <c:v>275.84892773156616</c:v>
                </c:pt>
                <c:pt idx="306">
                  <c:v>277.54439629757923</c:v>
                </c:pt>
                <c:pt idx="307">
                  <c:v>279.24379305199864</c:v>
                </c:pt>
                <c:pt idx="308">
                  <c:v>280.94710623607318</c:v>
                </c:pt>
                <c:pt idx="309">
                  <c:v>282.65432408575009</c:v>
                </c:pt>
                <c:pt idx="310">
                  <c:v>284.36543483175183</c:v>
                </c:pt>
                <c:pt idx="311">
                  <c:v>286.08042669965243</c:v>
                </c:pt>
                <c:pt idx="312">
                  <c:v>287.79928790995405</c:v>
                </c:pt>
                <c:pt idx="313">
                  <c:v>289.522006678163</c:v>
                </c:pt>
                <c:pt idx="314">
                  <c:v>291.24857121486593</c:v>
                </c:pt>
                <c:pt idx="315">
                  <c:v>292.97896972580583</c:v>
                </c:pt>
                <c:pt idx="316">
                  <c:v>294.7131904119579</c:v>
                </c:pt>
                <c:pt idx="317">
                  <c:v>296.45122146960512</c:v>
                </c:pt>
                <c:pt idx="318">
                  <c:v>298.19305109041386</c:v>
                </c:pt>
                <c:pt idx="319">
                  <c:v>299.93866746150945</c:v>
                </c:pt>
                <c:pt idx="320">
                  <c:v>301.6880587655512</c:v>
                </c:pt>
                <c:pt idx="321">
                  <c:v>303.44121318080778</c:v>
                </c:pt>
                <c:pt idx="322">
                  <c:v>305.19811888123195</c:v>
                </c:pt>
                <c:pt idx="323">
                  <c:v>306.95876403653568</c:v>
                </c:pt>
                <c:pt idx="324">
                  <c:v>308.72313681226461</c:v>
                </c:pt>
                <c:pt idx="325">
                  <c:v>310.49122536987278</c:v>
                </c:pt>
                <c:pt idx="326">
                  <c:v>312.26301794817738</c:v>
                </c:pt>
                <c:pt idx="327">
                  <c:v>314.03850294482965</c:v>
                </c:pt>
                <c:pt idx="328">
                  <c:v>315.81766883499949</c:v>
                </c:pt>
                <c:pt idx="329">
                  <c:v>317.60050409004316</c:v>
                </c:pt>
                <c:pt idx="330">
                  <c:v>319.38699717757447</c:v>
                </c:pt>
                <c:pt idx="331">
                  <c:v>321.17713656153592</c:v>
                </c:pt>
                <c:pt idx="332">
                  <c:v>322.97091070226986</c:v>
                </c:pt>
                <c:pt idx="333">
                  <c:v>324.76830805658915</c:v>
                </c:pt>
                <c:pt idx="334">
                  <c:v>326.56931707784804</c:v>
                </c:pt>
                <c:pt idx="335">
                  <c:v>328.37392621601259</c:v>
                </c:pt>
                <c:pt idx="336">
                  <c:v>330.18212391773108</c:v>
                </c:pt>
                <c:pt idx="337">
                  <c:v>331.99389862640425</c:v>
                </c:pt>
                <c:pt idx="338">
                  <c:v>333.80923878225536</c:v>
                </c:pt>
                <c:pt idx="339">
                  <c:v>335.62813282240023</c:v>
                </c:pt>
                <c:pt idx="340">
                  <c:v>337.45056918091677</c:v>
                </c:pt>
                <c:pt idx="341">
                  <c:v>339.27653628891471</c:v>
                </c:pt>
                <c:pt idx="342">
                  <c:v>341.10602257460494</c:v>
                </c:pt>
                <c:pt idx="343">
                  <c:v>342.93901646336877</c:v>
                </c:pt>
                <c:pt idx="344">
                  <c:v>344.77550637782707</c:v>
                </c:pt>
                <c:pt idx="345">
                  <c:v>346.61548073790919</c:v>
                </c:pt>
                <c:pt idx="346">
                  <c:v>348.45892796092164</c:v>
                </c:pt>
                <c:pt idx="347">
                  <c:v>350.30583646161665</c:v>
                </c:pt>
                <c:pt idx="348">
                  <c:v>352.15619465226058</c:v>
                </c:pt>
                <c:pt idx="349">
                  <c:v>354.0099909427023</c:v>
                </c:pt>
                <c:pt idx="350">
                  <c:v>355.867213740441</c:v>
                </c:pt>
                <c:pt idx="351">
                  <c:v>357.72785145069423</c:v>
                </c:pt>
                <c:pt idx="352">
                  <c:v>359.59189247646555</c:v>
                </c:pt>
                <c:pt idx="353">
                  <c:v>361.45932521861204</c:v>
                </c:pt>
                <c:pt idx="354">
                  <c:v>363.33013807591158</c:v>
                </c:pt>
                <c:pt idx="355">
                  <c:v>365.20431944513012</c:v>
                </c:pt>
                <c:pt idx="356">
                  <c:v>367.08185772108862</c:v>
                </c:pt>
                <c:pt idx="357">
                  <c:v>368.96274129672975</c:v>
                </c:pt>
                <c:pt idx="358">
                  <c:v>370.84695856318461</c:v>
                </c:pt>
                <c:pt idx="359">
                  <c:v>372.73449790983915</c:v>
                </c:pt>
                <c:pt idx="360">
                  <c:v>374.62534772440029</c:v>
                </c:pt>
                <c:pt idx="361">
                  <c:v>376.51949639296203</c:v>
                </c:pt>
                <c:pt idx="362">
                  <c:v>378.41693230007138</c:v>
                </c:pt>
                <c:pt idx="363">
                  <c:v>380.31764382879396</c:v>
                </c:pt>
                <c:pt idx="364">
                  <c:v>382.22161936077941</c:v>
                </c:pt>
                <c:pt idx="365">
                  <c:v>384.12884727632678</c:v>
                </c:pt>
                <c:pt idx="366">
                  <c:v>386.03931801186673</c:v>
                </c:pt>
                <c:pt idx="367">
                  <c:v>387.95302611756597</c:v>
                </c:pt>
                <c:pt idx="368">
                  <c:v>389.86996819926765</c:v>
                </c:pt>
                <c:pt idx="369">
                  <c:v>391.79014086028548</c:v>
                </c:pt>
                <c:pt idx="370">
                  <c:v>393.71354070142161</c:v>
                </c:pt>
                <c:pt idx="371">
                  <c:v>395.64016432098452</c:v>
                </c:pt>
                <c:pt idx="372">
                  <c:v>397.57000831480684</c:v>
                </c:pt>
                <c:pt idx="373">
                  <c:v>399.5030692762632</c:v>
                </c:pt>
                <c:pt idx="374">
                  <c:v>401.43934379628814</c:v>
                </c:pt>
                <c:pt idx="375">
                  <c:v>403.3788284633938</c:v>
                </c:pt>
                <c:pt idx="376">
                  <c:v>405.32151986368785</c:v>
                </c:pt>
                <c:pt idx="377">
                  <c:v>407.26741458089123</c:v>
                </c:pt>
                <c:pt idx="378">
                  <c:v>409.21650919635601</c:v>
                </c:pt>
                <c:pt idx="379">
                  <c:v>411.16880028908321</c:v>
                </c:pt>
                <c:pt idx="380">
                  <c:v>413.12428443574049</c:v>
                </c:pt>
                <c:pt idx="381">
                  <c:v>415.0829559923427</c:v>
                </c:pt>
                <c:pt idx="382">
                  <c:v>417.04480487585607</c:v>
                </c:pt>
                <c:pt idx="383">
                  <c:v>419.00981878342748</c:v>
                </c:pt>
                <c:pt idx="384">
                  <c:v>420.97798541171511</c:v>
                </c:pt>
                <c:pt idx="385">
                  <c:v>422.94929245695658</c:v>
                </c:pt>
                <c:pt idx="386">
                  <c:v>424.92372761503646</c:v>
                </c:pt>
                <c:pt idx="387">
                  <c:v>426.90127858155398</c:v>
                </c:pt>
                <c:pt idx="388">
                  <c:v>428.88193305189014</c:v>
                </c:pt>
                <c:pt idx="389">
                  <c:v>430.86567872127489</c:v>
                </c:pt>
                <c:pt idx="390">
                  <c:v>432.85250328485381</c:v>
                </c:pt>
                <c:pt idx="391">
                  <c:v>434.84239443775476</c:v>
                </c:pt>
                <c:pt idx="392">
                  <c:v>436.8353398751542</c:v>
                </c:pt>
                <c:pt idx="393">
                  <c:v>438.8313272923433</c:v>
                </c:pt>
                <c:pt idx="394">
                  <c:v>440.83034438479376</c:v>
                </c:pt>
                <c:pt idx="395">
                  <c:v>442.83237884822353</c:v>
                </c:pt>
                <c:pt idx="396">
                  <c:v>444.83741837866211</c:v>
                </c:pt>
                <c:pt idx="397">
                  <c:v>446.84545067251565</c:v>
                </c:pt>
                <c:pt idx="398">
                  <c:v>448.85646342663205</c:v>
                </c:pt>
                <c:pt idx="399">
                  <c:v>450.87044433836542</c:v>
                </c:pt>
                <c:pt idx="400">
                  <c:v>452.8873811056406</c:v>
                </c:pt>
                <c:pt idx="401">
                  <c:v>454.90725968822932</c:v>
                </c:pt>
                <c:pt idx="402">
                  <c:v>456.93006256909257</c:v>
                </c:pt>
                <c:pt idx="403">
                  <c:v>458.95577049414044</c:v>
                </c:pt>
                <c:pt idx="404">
                  <c:v>460.98436421195134</c:v>
                </c:pt>
                <c:pt idx="405">
                  <c:v>463.01582447388915</c:v>
                </c:pt>
                <c:pt idx="406">
                  <c:v>465.05013203421964</c:v>
                </c:pt>
                <c:pt idx="407">
                  <c:v>467.08726765022607</c:v>
                </c:pt>
                <c:pt idx="408">
                  <c:v>469.12721208232455</c:v>
                </c:pt>
                <c:pt idx="409">
                  <c:v>471.16994609417878</c:v>
                </c:pt>
                <c:pt idx="410">
                  <c:v>473.21545045281391</c:v>
                </c:pt>
                <c:pt idx="411">
                  <c:v>475.26369633858195</c:v>
                </c:pt>
                <c:pt idx="412">
                  <c:v>477.31463575605761</c:v>
                </c:pt>
                <c:pt idx="413">
                  <c:v>479.36821113031192</c:v>
                </c:pt>
                <c:pt idx="414">
                  <c:v>481.42436490253147</c:v>
                </c:pt>
                <c:pt idx="415">
                  <c:v>483.48303953068074</c:v>
                </c:pt>
                <c:pt idx="416">
                  <c:v>485.54417749015965</c:v>
                </c:pt>
                <c:pt idx="417">
                  <c:v>487.60772127445665</c:v>
                </c:pt>
                <c:pt idx="418">
                  <c:v>489.67361339579639</c:v>
                </c:pt>
                <c:pt idx="419">
                  <c:v>491.74179638578323</c:v>
                </c:pt>
                <c:pt idx="420">
                  <c:v>493.8122073494377</c:v>
                </c:pt>
                <c:pt idx="421">
                  <c:v>495.88477252045203</c:v>
                </c:pt>
                <c:pt idx="422">
                  <c:v>497.95941271297528</c:v>
                </c:pt>
                <c:pt idx="423">
                  <c:v>500.03604877241941</c:v>
                </c:pt>
                <c:pt idx="424">
                  <c:v>502.11460157657513</c:v>
                </c:pt>
                <c:pt idx="425">
                  <c:v>504.19499203671876</c:v>
                </c:pt>
                <c:pt idx="426">
                  <c:v>506.27714109870954</c:v>
                </c:pt>
                <c:pt idx="427">
                  <c:v>508.36096974407781</c:v>
                </c:pt>
                <c:pt idx="428">
                  <c:v>510.4463989911041</c:v>
                </c:pt>
                <c:pt idx="429">
                  <c:v>512.53334989588848</c:v>
                </c:pt>
                <c:pt idx="430">
                  <c:v>514.62174355341108</c:v>
                </c:pt>
                <c:pt idx="431">
                  <c:v>516.71150109858274</c:v>
                </c:pt>
                <c:pt idx="432">
                  <c:v>518.80253494759711</c:v>
                </c:pt>
                <c:pt idx="433">
                  <c:v>520.89474004312854</c:v>
                </c:pt>
                <c:pt idx="434">
                  <c:v>522.98800262533712</c:v>
                </c:pt>
                <c:pt idx="435">
                  <c:v>525.08220899953869</c:v>
                </c:pt>
                <c:pt idx="436">
                  <c:v>527.17724553826235</c:v>
                </c:pt>
                <c:pt idx="437">
                  <c:v>529.27299868328885</c:v>
                </c:pt>
                <c:pt idx="438">
                  <c:v>531.3693549476684</c:v>
                </c:pt>
                <c:pt idx="439">
                  <c:v>533.46620091771956</c:v>
                </c:pt>
                <c:pt idx="440">
                  <c:v>535.56342325500782</c:v>
                </c:pt>
                <c:pt idx="441">
                  <c:v>537.66090869830407</c:v>
                </c:pt>
                <c:pt idx="442">
                  <c:v>539.75854937853421</c:v>
                </c:pt>
                <c:pt idx="443">
                  <c:v>541.85624813009497</c:v>
                </c:pt>
                <c:pt idx="444">
                  <c:v>543.95391317157726</c:v>
                </c:pt>
                <c:pt idx="445">
                  <c:v>546.05145278975772</c:v>
                </c:pt>
                <c:pt idx="446">
                  <c:v>548.14877534081086</c:v>
                </c:pt>
                <c:pt idx="447">
                  <c:v>550.24578925150854</c:v>
                </c:pt>
                <c:pt idx="448">
                  <c:v>552.34240302040587</c:v>
                </c:pt>
                <c:pt idx="449">
                  <c:v>554.43852521901385</c:v>
                </c:pt>
                <c:pt idx="450">
                  <c:v>556.53406449295949</c:v>
                </c:pt>
                <c:pt idx="451">
                  <c:v>558.62892956313169</c:v>
                </c:pt>
                <c:pt idx="452">
                  <c:v>560.7230292268149</c:v>
                </c:pt>
                <c:pt idx="453">
                  <c:v>562.81627995837891</c:v>
                </c:pt>
                <c:pt idx="454">
                  <c:v>564.90861350330624</c:v>
                </c:pt>
                <c:pt idx="455">
                  <c:v>566.99996926593099</c:v>
                </c:pt>
                <c:pt idx="456">
                  <c:v>569.09028670349437</c:v>
                </c:pt>
                <c:pt idx="457">
                  <c:v>571.17950532657562</c:v>
                </c:pt>
                <c:pt idx="458">
                  <c:v>573.26756469951738</c:v>
                </c:pt>
                <c:pt idx="459">
                  <c:v>575.35440444084577</c:v>
                </c:pt>
                <c:pt idx="460">
                  <c:v>577.43996422368423</c:v>
                </c:pt>
                <c:pt idx="461">
                  <c:v>579.52419061104365</c:v>
                </c:pt>
                <c:pt idx="462">
                  <c:v>581.60704388455167</c:v>
                </c:pt>
                <c:pt idx="463">
                  <c:v>583.68849119682238</c:v>
                </c:pt>
                <c:pt idx="464">
                  <c:v>585.76849973021842</c:v>
                </c:pt>
                <c:pt idx="465">
                  <c:v>587.84703669692669</c:v>
                </c:pt>
                <c:pt idx="466">
                  <c:v>589.9240635989438</c:v>
                </c:pt>
                <c:pt idx="467">
                  <c:v>591.99953049374324</c:v>
                </c:pt>
                <c:pt idx="468">
                  <c:v>594.07331782923995</c:v>
                </c:pt>
                <c:pt idx="469">
                  <c:v>596.14525655520231</c:v>
                </c:pt>
                <c:pt idx="470">
                  <c:v>598.21527030284733</c:v>
                </c:pt>
                <c:pt idx="471">
                  <c:v>600.28336099070248</c:v>
                </c:pt>
                <c:pt idx="472">
                  <c:v>602.34953053304366</c:v>
                </c:pt>
                <c:pt idx="473">
                  <c:v>604.41378083990742</c:v>
                </c:pt>
                <c:pt idx="474">
                  <c:v>606.47611381710271</c:v>
                </c:pt>
                <c:pt idx="475">
                  <c:v>608.53653136622324</c:v>
                </c:pt>
                <c:pt idx="476">
                  <c:v>610.59503538465958</c:v>
                </c:pt>
                <c:pt idx="477">
                  <c:v>612.6516277656109</c:v>
                </c:pt>
                <c:pt idx="478">
                  <c:v>614.70631039809712</c:v>
                </c:pt>
                <c:pt idx="479">
                  <c:v>616.75908516697064</c:v>
                </c:pt>
                <c:pt idx="480">
                  <c:v>618.80995395292825</c:v>
                </c:pt>
                <c:pt idx="481">
                  <c:v>620.858918632523</c:v>
                </c:pt>
                <c:pt idx="482">
                  <c:v>622.90598107817584</c:v>
                </c:pt>
                <c:pt idx="483">
                  <c:v>624.95114315818751</c:v>
                </c:pt>
                <c:pt idx="484">
                  <c:v>626.99440673675008</c:v>
                </c:pt>
                <c:pt idx="485">
                  <c:v>629.03577367395849</c:v>
                </c:pt>
                <c:pt idx="486">
                  <c:v>631.07524582582255</c:v>
                </c:pt>
                <c:pt idx="487">
                  <c:v>633.112825044278</c:v>
                </c:pt>
                <c:pt idx="488">
                  <c:v>635.14851317719831</c:v>
                </c:pt>
                <c:pt idx="489">
                  <c:v>637.18231206840608</c:v>
                </c:pt>
                <c:pt idx="490">
                  <c:v>639.21422355768459</c:v>
                </c:pt>
                <c:pt idx="491">
                  <c:v>641.24424948078899</c:v>
                </c:pt>
                <c:pt idx="492">
                  <c:v>643.27239166945765</c:v>
                </c:pt>
                <c:pt idx="493">
                  <c:v>645.29865195142361</c:v>
                </c:pt>
                <c:pt idx="494">
                  <c:v>647.32303215042589</c:v>
                </c:pt>
                <c:pt idx="495">
                  <c:v>649.34553408622037</c:v>
                </c:pt>
                <c:pt idx="496">
                  <c:v>651.36615957459139</c:v>
                </c:pt>
                <c:pt idx="497">
                  <c:v>653.38491042736268</c:v>
                </c:pt>
                <c:pt idx="498">
                  <c:v>655.40178845240848</c:v>
                </c:pt>
                <c:pt idx="499">
                  <c:v>657.41679545366469</c:v>
                </c:pt>
                <c:pt idx="500">
                  <c:v>659.42993323113956</c:v>
                </c:pt>
                <c:pt idx="501">
                  <c:v>679.45864285105449</c:v>
                </c:pt>
                <c:pt idx="502">
                  <c:v>699.30158929699337</c:v>
                </c:pt>
                <c:pt idx="503">
                  <c:v>718.9605331966626</c:v>
                </c:pt>
                <c:pt idx="504">
                  <c:v>738.43719740646941</c:v>
                </c:pt>
                <c:pt idx="505">
                  <c:v>757.7332680446591</c:v>
                </c:pt>
                <c:pt idx="506">
                  <c:v>776.85039548846339</c:v>
                </c:pt>
                <c:pt idx="507">
                  <c:v>795.79019533675955</c:v>
                </c:pt>
                <c:pt idx="508">
                  <c:v>814.5542493396656</c:v>
                </c:pt>
                <c:pt idx="509">
                  <c:v>833.14410629642953</c:v>
                </c:pt>
                <c:pt idx="510">
                  <c:v>851.56128292290373</c:v>
                </c:pt>
                <c:pt idx="511">
                  <c:v>869.80726468983664</c:v>
                </c:pt>
                <c:pt idx="512">
                  <c:v>887.88350663315282</c:v>
                </c:pt>
                <c:pt idx="513">
                  <c:v>905.79143413734016</c:v>
                </c:pt>
                <c:pt idx="514">
                  <c:v>923.5324436930099</c:v>
                </c:pt>
                <c:pt idx="515">
                  <c:v>941.10790362964497</c:v>
                </c:pt>
                <c:pt idx="516">
                  <c:v>958.51915482450727</c:v>
                </c:pt>
                <c:pt idx="517">
                  <c:v>975.76751138862846</c:v>
                </c:pt>
                <c:pt idx="518">
                  <c:v>992.8542613307684</c:v>
                </c:pt>
                <c:pt idx="519">
                  <c:v>1009.7806672001849</c:v>
                </c:pt>
                <c:pt idx="520">
                  <c:v>1026.5479667090199</c:v>
                </c:pt>
                <c:pt idx="521">
                  <c:v>1043.1573733350735</c:v>
                </c:pt>
                <c:pt idx="522">
                  <c:v>1059.6100769057011</c:v>
                </c:pt>
                <c:pt idx="523">
                  <c:v>1075.9072441635383</c:v>
                </c:pt>
                <c:pt idx="524">
                  <c:v>1092.0500193147252</c:v>
                </c:pt>
                <c:pt idx="525">
                  <c:v>1108.039524560277</c:v>
                </c:pt>
                <c:pt idx="526">
                  <c:v>1123.8768606112135</c:v>
                </c:pt>
                <c:pt idx="527">
                  <c:v>1139.5631071880414</c:v>
                </c:pt>
                <c:pt idx="528">
                  <c:v>1155.0993235051512</c:v>
                </c:pt>
                <c:pt idx="529">
                  <c:v>1170.4865487406726</c:v>
                </c:pt>
                <c:pt idx="530">
                  <c:v>1185.7258024923026</c:v>
                </c:pt>
                <c:pt idx="531">
                  <c:v>1200.8180852196092</c:v>
                </c:pt>
                <c:pt idx="532">
                  <c:v>1215.7643786732806</c:v>
                </c:pt>
                <c:pt idx="533">
                  <c:v>1230.5656463117814</c:v>
                </c:pt>
                <c:pt idx="534">
                  <c:v>1245.2228337058505</c:v>
                </c:pt>
                <c:pt idx="535">
                  <c:v>1259.7368689312618</c:v>
                </c:pt>
                <c:pt idx="536">
                  <c:v>1274.1086629502522</c:v>
                </c:pt>
                <c:pt idx="537">
                  <c:v>1288.3391099820017</c:v>
                </c:pt>
                <c:pt idx="538">
                  <c:v>1302.4290878625372</c:v>
                </c:pt>
                <c:pt idx="539">
                  <c:v>1316.3794583944191</c:v>
                </c:pt>
                <c:pt idx="540">
                  <c:v>1330.19106768655</c:v>
                </c:pt>
                <c:pt idx="541">
                  <c:v>1343.8647464844371</c:v>
                </c:pt>
                <c:pt idx="542">
                  <c:v>1357.4013104912228</c:v>
                </c:pt>
                <c:pt idx="543">
                  <c:v>1370.8015606797901</c:v>
                </c:pt>
                <c:pt idx="544">
                  <c:v>1384.0662835962312</c:v>
                </c:pt>
                <c:pt idx="545">
                  <c:v>1397.1962516549647</c:v>
                </c:pt>
                <c:pt idx="546">
                  <c:v>1410.192223425769</c:v>
                </c:pt>
                <c:pt idx="547">
                  <c:v>1423.0549439129927</c:v>
                </c:pt>
                <c:pt idx="548">
                  <c:v>1435.7851448271922</c:v>
                </c:pt>
                <c:pt idx="549">
                  <c:v>1448.3835448494387</c:v>
                </c:pt>
                <c:pt idx="550">
                  <c:v>1460.8508498885255</c:v>
                </c:pt>
                <c:pt idx="551">
                  <c:v>1473.1877533312982</c:v>
                </c:pt>
                <c:pt idx="552">
                  <c:v>1485.3949362863254</c:v>
                </c:pt>
                <c:pt idx="553">
                  <c:v>1497.4730678211158</c:v>
                </c:pt>
                <c:pt idx="554">
                  <c:v>1509.42280519308</c:v>
                </c:pt>
                <c:pt idx="555">
                  <c:v>1521.2447940744337</c:v>
                </c:pt>
                <c:pt idx="556">
                  <c:v>1532.9396687712235</c:v>
                </c:pt>
                <c:pt idx="557">
                  <c:v>1544.5080524366583</c:v>
                </c:pt>
                <c:pt idx="558">
                  <c:v>1555.9505572789146</c:v>
                </c:pt>
                <c:pt idx="559">
                  <c:v>1567.2677847635878</c:v>
                </c:pt>
                <c:pt idx="560">
                  <c:v>1578.4603258109453</c:v>
                </c:pt>
                <c:pt idx="561">
                  <c:v>1589.5287609881395</c:v>
                </c:pt>
                <c:pt idx="562">
                  <c:v>1600.4736606965303</c:v>
                </c:pt>
                <c:pt idx="563">
                  <c:v>1611.2955853542603</c:v>
                </c:pt>
                <c:pt idx="564">
                  <c:v>1621.9950855742245</c:v>
                </c:pt>
                <c:pt idx="565">
                  <c:v>1632.572702337568</c:v>
                </c:pt>
                <c:pt idx="566">
                  <c:v>1643.0289671628439</c:v>
                </c:pt>
                <c:pt idx="567">
                  <c:v>1653.364402270955</c:v>
                </c:pt>
                <c:pt idx="568">
                  <c:v>1663.5795207460053</c:v>
                </c:pt>
                <c:pt idx="569">
                  <c:v>1673.6748266921752</c:v>
                </c:pt>
                <c:pt idx="570">
                  <c:v>1683.6508153867373</c:v>
                </c:pt>
                <c:pt idx="571">
                  <c:v>1693.5079734293229</c:v>
                </c:pt>
                <c:pt idx="572">
                  <c:v>1703.2467788875456</c:v>
                </c:pt>
                <c:pt idx="573">
                  <c:v>1712.8677014390867</c:v>
                </c:pt>
                <c:pt idx="574">
                  <c:v>1722.3712025103412</c:v>
                </c:pt>
                <c:pt idx="575">
                  <c:v>1731.7577354117245</c:v>
                </c:pt>
                <c:pt idx="576">
                  <c:v>1741.0277454697316</c:v>
                </c:pt>
                <c:pt idx="577">
                  <c:v>1750.1816701558414</c:v>
                </c:pt>
                <c:pt idx="578">
                  <c:v>1759.2199392123559</c:v>
                </c:pt>
                <c:pt idx="579">
                  <c:v>1768.1429747752591</c:v>
                </c:pt>
                <c:pt idx="580">
                  <c:v>1776.9511914941804</c:v>
                </c:pt>
                <c:pt idx="581">
                  <c:v>1785.6449966495445</c:v>
                </c:pt>
                <c:pt idx="582">
                  <c:v>1794.2247902669851</c:v>
                </c:pt>
                <c:pt idx="583">
                  <c:v>1802.6909652291019</c:v>
                </c:pt>
                <c:pt idx="584">
                  <c:v>1811.0439073846348</c:v>
                </c:pt>
                <c:pt idx="585">
                  <c:v>1819.2839956551279</c:v>
                </c:pt>
                <c:pt idx="586">
                  <c:v>1827.4116021391567</c:v>
                </c:pt>
                <c:pt idx="587">
                  <c:v>1835.4270922141861</c:v>
                </c:pt>
                <c:pt idx="588">
                  <c:v>1843.3308246361282</c:v>
                </c:pt>
                <c:pt idx="589">
                  <c:v>1851.1231516366663</c:v>
                </c:pt>
                <c:pt idx="590">
                  <c:v>1858.8044190184105</c:v>
                </c:pt>
                <c:pt idx="591">
                  <c:v>1866.3749662479484</c:v>
                </c:pt>
                <c:pt idx="592">
                  <c:v>1873.8351265468527</c:v>
                </c:pt>
                <c:pt idx="593">
                  <c:v>1881.1852269807093</c:v>
                </c:pt>
                <c:pt idx="594">
                  <c:v>1888.4255885462233</c:v>
                </c:pt>
                <c:pt idx="595">
                  <c:v>1895.5565262564655</c:v>
                </c:pt>
                <c:pt idx="596">
                  <c:v>1902.5783492243158</c:v>
                </c:pt>
                <c:pt idx="597">
                  <c:v>1909.491360744162</c:v>
                </c:pt>
                <c:pt idx="598">
                  <c:v>1916.2958583719114</c:v>
                </c:pt>
                <c:pt idx="599">
                  <c:v>1922.9921340033732</c:v>
                </c:pt>
                <c:pt idx="600">
                  <c:v>1929.580473951065</c:v>
                </c:pt>
                <c:pt idx="601">
                  <c:v>1936.0611590195028</c:v>
                </c:pt>
                <c:pt idx="602">
                  <c:v>1942.4344645790288</c:v>
                </c:pt>
                <c:pt idx="603">
                  <c:v>1948.700660638232</c:v>
                </c:pt>
                <c:pt idx="604">
                  <c:v>1954.8600119150187</c:v>
                </c:pt>
                <c:pt idx="605">
                  <c:v>1960.9127779063892</c:v>
                </c:pt>
                <c:pt idx="606">
                  <c:v>1966.8592129569754</c:v>
                </c:pt>
                <c:pt idx="607">
                  <c:v>1972.6995663263981</c:v>
                </c:pt>
                <c:pt idx="608">
                  <c:v>1978.4340822554989</c:v>
                </c:pt>
                <c:pt idx="609">
                  <c:v>1984.063000031507</c:v>
                </c:pt>
                <c:pt idx="610">
                  <c:v>1989.5865540521991</c:v>
                </c:pt>
                <c:pt idx="611">
                  <c:v>1995.0049738891107</c:v>
                </c:pt>
                <c:pt idx="612">
                  <c:v>2000.3184843498634</c:v>
                </c:pt>
                <c:pt idx="613">
                  <c:v>2005.527305539666</c:v>
                </c:pt>
                <c:pt idx="614">
                  <c:v>2010.6316529220587</c:v>
                </c:pt>
                <c:pt idx="615">
                  <c:v>2015.6317373789605</c:v>
                </c:pt>
                <c:pt idx="616">
                  <c:v>2020.5277652700927</c:v>
                </c:pt>
                <c:pt idx="617">
                  <c:v>2025.3199384918439</c:v>
                </c:pt>
                <c:pt idx="618">
                  <c:v>2030.0084545356508</c:v>
                </c:pt>
                <c:pt idx="619">
                  <c:v>2034.5935065459676</c:v>
                </c:pt>
                <c:pt idx="620">
                  <c:v>2039.0752833779029</c:v>
                </c:pt>
                <c:pt idx="621">
                  <c:v>2043.4539696546028</c:v>
                </c:pt>
                <c:pt idx="622">
                  <c:v>2047.7297458244623</c:v>
                </c:pt>
                <c:pt idx="623">
                  <c:v>2051.9027882182522</c:v>
                </c:pt>
                <c:pt idx="624">
                  <c:v>2055.9732691062527</c:v>
                </c:pt>
                <c:pt idx="625">
                  <c:v>2059.9413567554825</c:v>
                </c:pt>
                <c:pt idx="626">
                  <c:v>2063.8072154871247</c:v>
                </c:pt>
                <c:pt idx="627">
                  <c:v>2067.5710057342499</c:v>
                </c:pt>
                <c:pt idx="628">
                  <c:v>2071.2328840999371</c:v>
                </c:pt>
                <c:pt idx="629">
                  <c:v>2074.7930034159081</c:v>
                </c:pt>
                <c:pt idx="630">
                  <c:v>2078.2515128017835</c:v>
                </c:pt>
                <c:pt idx="631">
                  <c:v>2081.6085577250801</c:v>
                </c:pt>
                <c:pt idx="632">
                  <c:v>2084.8642800620705</c:v>
                </c:pt>
                <c:pt idx="633">
                  <c:v>2088.0188181596327</c:v>
                </c:pt>
                <c:pt idx="634">
                  <c:v>2091.0723068982138</c:v>
                </c:pt>
                <c:pt idx="635">
                  <c:v>2094.0248777560496</c:v>
                </c:pt>
                <c:pt idx="636">
                  <c:v>2096.8766588747658</c:v>
                </c:pt>
                <c:pt idx="637">
                  <c:v>2099.6277751265097</c:v>
                </c:pt>
                <c:pt idx="638">
                  <c:v>2102.2783481827464</c:v>
                </c:pt>
                <c:pt idx="639">
                  <c:v>2104.8284965848666</c:v>
                </c:pt>
                <c:pt idx="640">
                  <c:v>2107.2783358167435</c:v>
                </c:pt>
                <c:pt idx="641">
                  <c:v>2109.6279783793884</c:v>
                </c:pt>
                <c:pt idx="642">
                  <c:v>2111.8775338678374</c:v>
                </c:pt>
                <c:pt idx="643">
                  <c:v>2114.0271090504102</c:v>
                </c:pt>
                <c:pt idx="644">
                  <c:v>2116.0768079504733</c:v>
                </c:pt>
                <c:pt idx="645">
                  <c:v>2118.0267319308314</c:v>
                </c:pt>
                <c:pt idx="646">
                  <c:v>2119.8769797808623</c:v>
                </c:pt>
                <c:pt idx="647">
                  <c:v>2121.6276478065024</c:v>
                </c:pt>
                <c:pt idx="648">
                  <c:v>2123.2788299231752</c:v>
                </c:pt>
                <c:pt idx="649">
                  <c:v>2124.830617751737</c:v>
                </c:pt>
                <c:pt idx="650">
                  <c:v>2126.2831007175014</c:v>
                </c:pt>
                <c:pt idx="651">
                  <c:v>2127.6363661523783</c:v>
                </c:pt>
                <c:pt idx="652">
                  <c:v>2128.8904994001441</c:v>
                </c:pt>
                <c:pt idx="653">
                  <c:v>2130.0455839248311</c:v>
                </c:pt>
                <c:pt idx="654">
                  <c:v>2131.1017014221975</c:v>
                </c:pt>
                <c:pt idx="655">
                  <c:v>2132.0589319342125</c:v>
                </c:pt>
                <c:pt idx="656">
                  <c:v>2132.917353966458</c:v>
                </c:pt>
                <c:pt idx="657">
                  <c:v>2133.677044608311</c:v>
                </c:pt>
                <c:pt idx="658">
                  <c:v>2134.3380796557508</c:v>
                </c:pt>
                <c:pt idx="659">
                  <c:v>2134.9005337365847</c:v>
                </c:pt>
                <c:pt idx="660">
                  <c:v>2135.3644804378696</c:v>
                </c:pt>
                <c:pt idx="661">
                  <c:v>2135.7299924352651</c:v>
                </c:pt>
                <c:pt idx="662">
                  <c:v>2135.9971416240282</c:v>
                </c:pt>
                <c:pt idx="663">
                  <c:v>2136.1659992513328</c:v>
                </c:pt>
                <c:pt idx="664">
                  <c:v>2136.2366360495694</c:v>
                </c:pt>
                <c:pt idx="665">
                  <c:v>2136.2091223702701</c:v>
                </c:pt>
                <c:pt idx="666">
                  <c:v>2136.0835283182769</c:v>
                </c:pt>
                <c:pt idx="667">
                  <c:v>2135.8599238857687</c:v>
                </c:pt>
                <c:pt idx="668">
                  <c:v>2135.5383790857531</c:v>
                </c:pt>
                <c:pt idx="669">
                  <c:v>2135.1189640846324</c:v>
                </c:pt>
                <c:pt idx="670">
                  <c:v>2134.6017493334512</c:v>
                </c:pt>
                <c:pt idx="671">
                  <c:v>2133.9868056974533</c:v>
                </c:pt>
                <c:pt idx="672">
                  <c:v>2133.2742045835776</c:v>
                </c:pt>
                <c:pt idx="673">
                  <c:v>2132.4640180655551</c:v>
                </c:pt>
                <c:pt idx="674">
                  <c:v>2131.5563190062835</c:v>
                </c:pt>
                <c:pt idx="675">
                  <c:v>2130.5511811771839</c:v>
                </c:pt>
                <c:pt idx="676">
                  <c:v>2129.4486793742785</c:v>
                </c:pt>
                <c:pt idx="677">
                  <c:v>2128.2488895307497</c:v>
                </c:pt>
                <c:pt idx="678">
                  <c:v>2126.9518888257858</c:v>
                </c:pt>
                <c:pt idx="679">
                  <c:v>2125.5577557895413</c:v>
                </c:pt>
                <c:pt idx="680">
                  <c:v>2124.0665704040748</c:v>
                </c:pt>
                <c:pt idx="681">
                  <c:v>2122.4784142001672</c:v>
                </c:pt>
                <c:pt idx="682">
                  <c:v>2120.7933703499452</c:v>
                </c:pt>
                <c:pt idx="683">
                  <c:v>2119.0115237552668</c:v>
                </c:pt>
                <c:pt idx="684">
                  <c:v>2117.1329611318588</c:v>
                </c:pt>
                <c:pt idx="685">
                  <c:v>2115.1577710892143</c:v>
                </c:pt>
                <c:pt idx="686">
                  <c:v>2113.0860442062867</c:v>
                </c:pt>
                <c:pt idx="687">
                  <c:v>2110.9178731030338</c:v>
                </c:pt>
                <c:pt idx="688">
                  <c:v>2108.6533525078858</c:v>
                </c:pt>
                <c:pt idx="689">
                  <c:v>2106.2925793212257</c:v>
                </c:pt>
                <c:pt idx="690">
                  <c:v>2103.8356526749849</c:v>
                </c:pt>
                <c:pt idx="691">
                  <c:v>2101.2826739884617</c:v>
                </c:pt>
                <c:pt idx="692">
                  <c:v>2098.6337470204894</c:v>
                </c:pt>
                <c:pt idx="693">
                  <c:v>2095.8889779180786</c:v>
                </c:pt>
                <c:pt idx="694">
                  <c:v>2093.0484752616621</c:v>
                </c:pt>
                <c:pt idx="695">
                  <c:v>2090.1123501070833</c:v>
                </c:pt>
                <c:pt idx="696">
                  <c:v>2087.080716024459</c:v>
                </c:pt>
                <c:pt idx="697">
                  <c:v>2083.9536891340535</c:v>
                </c:pt>
                <c:pt idx="698">
                  <c:v>2080.7313881393034</c:v>
                </c:pt>
                <c:pt idx="699">
                  <c:v>2077.4139343571187</c:v>
                </c:pt>
                <c:pt idx="700">
                  <c:v>2074.001451745597</c:v>
                </c:pt>
                <c:pt idx="701">
                  <c:v>2070.4940669292755</c:v>
                </c:pt>
                <c:pt idx="702">
                  <c:v>2066.891909222044</c:v>
                </c:pt>
                <c:pt idx="703">
                  <c:v>2063.1951106478364</c:v>
                </c:pt>
                <c:pt idx="704">
                  <c:v>2059.4038059592199</c:v>
                </c:pt>
                <c:pt idx="705">
                  <c:v>2055.5181326539832</c:v>
                </c:pt>
                <c:pt idx="706">
                  <c:v>2051.5382309898391</c:v>
                </c:pt>
                <c:pt idx="707">
                  <c:v>2047.4642439973306</c:v>
                </c:pt>
                <c:pt idx="708">
                  <c:v>2043.2963174910437</c:v>
                </c:pt>
                <c:pt idx="709">
                  <c:v>2039.0346000792129</c:v>
                </c:pt>
                <c:pt idx="710">
                  <c:v>2034.6792431718043</c:v>
                </c:pt>
                <c:pt idx="711">
                  <c:v>2030.2304009871609</c:v>
                </c:pt>
                <c:pt idx="712">
                  <c:v>2025.6882305572806</c:v>
                </c:pt>
                <c:pt idx="713">
                  <c:v>2021.0528917318036</c:v>
                </c:pt>
                <c:pt idx="714">
                  <c:v>2016.3245471807734</c:v>
                </c:pt>
                <c:pt idx="715">
                  <c:v>2011.5033623962379</c:v>
                </c:pt>
                <c:pt idx="716">
                  <c:v>2006.5895056927475</c:v>
                </c:pt>
                <c:pt idx="717">
                  <c:v>2001.5831482068077</c:v>
                </c:pt>
                <c:pt idx="718">
                  <c:v>1996.48446389534</c:v>
                </c:pt>
                <c:pt idx="719">
                  <c:v>1991.2936295331983</c:v>
                </c:pt>
                <c:pt idx="720">
                  <c:v>1986.0108247097892</c:v>
                </c:pt>
                <c:pt idx="721">
                  <c:v>1980.6362318248375</c:v>
                </c:pt>
                <c:pt idx="722">
                  <c:v>1975.1700360833408</c:v>
                </c:pt>
                <c:pt idx="723">
                  <c:v>1969.6124254897481</c:v>
                </c:pt>
                <c:pt idx="724">
                  <c:v>1963.9635908414004</c:v>
                </c:pt>
                <c:pt idx="725">
                  <c:v>1958.2237257212664</c:v>
                </c:pt>
                <c:pt idx="726">
                  <c:v>1952.3930264900041</c:v>
                </c:pt>
                <c:pt idx="727">
                  <c:v>1946.4716922773789</c:v>
                </c:pt>
                <c:pt idx="728">
                  <c:v>1940.459924973065</c:v>
                </c:pt>
                <c:pt idx="729">
                  <c:v>1934.3579292168567</c:v>
                </c:pt>
                <c:pt idx="730">
                  <c:v>1928.1659123883139</c:v>
                </c:pt>
                <c:pt idx="731">
                  <c:v>1921.8840845958644</c:v>
                </c:pt>
                <c:pt idx="732">
                  <c:v>1915.5126586653844</c:v>
                </c:pt>
                <c:pt idx="733">
                  <c:v>1909.0518501282788</c:v>
                </c:pt>
                <c:pt idx="734">
                  <c:v>1902.5018772090787</c:v>
                </c:pt>
                <c:pt idx="735">
                  <c:v>1895.8629608125741</c:v>
                </c:pt>
                <c:pt idx="736">
                  <c:v>1889.1353245105011</c:v>
                </c:pt>
                <c:pt idx="737">
                  <c:v>1882.3191945277956</c:v>
                </c:pt>
                <c:pt idx="738">
                  <c:v>1875.4147997284324</c:v>
                </c:pt>
                <c:pt idx="739">
                  <c:v>1868.422371600861</c:v>
                </c:pt>
                <c:pt idx="740">
                  <c:v>1861.3421442430538</c:v>
                </c:pt>
                <c:pt idx="741">
                  <c:v>1854.1743543471778</c:v>
                </c:pt>
                <c:pt idx="742">
                  <c:v>1846.9192411839019</c:v>
                </c:pt>
                <c:pt idx="743">
                  <c:v>1839.5770465863532</c:v>
                </c:pt>
                <c:pt idx="744">
                  <c:v>1832.1480149337299</c:v>
                </c:pt>
                <c:pt idx="745">
                  <c:v>1824.6323931345846</c:v>
                </c:pt>
                <c:pt idx="746">
                  <c:v>1817.0304306097853</c:v>
                </c:pt>
                <c:pt idx="747">
                  <c:v>1809.3423792751639</c:v>
                </c:pt>
                <c:pt idx="748">
                  <c:v>1801.5684935238633</c:v>
                </c:pt>
                <c:pt idx="749">
                  <c:v>1793.7090302083875</c:v>
                </c:pt>
                <c:pt idx="750">
                  <c:v>1785.7642486223674</c:v>
                </c:pt>
                <c:pt idx="751">
                  <c:v>1777.7344104820468</c:v>
                </c:pt>
                <c:pt idx="752">
                  <c:v>1769.6197799074978</c:v>
                </c:pt>
                <c:pt idx="753">
                  <c:v>1761.4206234035723</c:v>
                </c:pt>
                <c:pt idx="754">
                  <c:v>1753.1372098405966</c:v>
                </c:pt>
                <c:pt idx="755">
                  <c:v>1744.7698104348156</c:v>
                </c:pt>
                <c:pt idx="756">
                  <c:v>1736.3186987285935</c:v>
                </c:pt>
                <c:pt idx="757">
                  <c:v>1727.7841505703771</c:v>
                </c:pt>
                <c:pt idx="758">
                  <c:v>1719.1664440944273</c:v>
                </c:pt>
                <c:pt idx="759">
                  <c:v>1710.4658597003252</c:v>
                </c:pt>
                <c:pt idx="760">
                  <c:v>1701.6826800322578</c:v>
                </c:pt>
                <c:pt idx="761">
                  <c:v>1692.8171899580907</c:v>
                </c:pt>
                <c:pt idx="762">
                  <c:v>1683.8696765482298</c:v>
                </c:pt>
                <c:pt idx="763">
                  <c:v>1674.8404290542805</c:v>
                </c:pt>
                <c:pt idx="764">
                  <c:v>1665.7297388875081</c:v>
                </c:pt>
                <c:pt idx="765">
                  <c:v>1656.5378995971037</c:v>
                </c:pt>
                <c:pt idx="766">
                  <c:v>1647.2652068482616</c:v>
                </c:pt>
                <c:pt idx="767">
                  <c:v>1637.9119584000739</c:v>
                </c:pt>
                <c:pt idx="768">
                  <c:v>1628.4784540832427</c:v>
                </c:pt>
                <c:pt idx="769">
                  <c:v>1618.964995777621</c:v>
                </c:pt>
                <c:pt idx="770">
                  <c:v>1609.3718873895803</c:v>
                </c:pt>
                <c:pt idx="771">
                  <c:v>1599.6994348292144</c:v>
                </c:pt>
                <c:pt idx="772">
                  <c:v>1589.9479459873805</c:v>
                </c:pt>
                <c:pt idx="773">
                  <c:v>1580.1177307125838</c:v>
                </c:pt>
                <c:pt idx="774">
                  <c:v>1570.2091007877079</c:v>
                </c:pt>
                <c:pt idx="775">
                  <c:v>1560.2223699065983</c:v>
                </c:pt>
                <c:pt idx="776">
                  <c:v>1550.1578536504992</c:v>
                </c:pt>
                <c:pt idx="777">
                  <c:v>1540.0158694643524</c:v>
                </c:pt>
                <c:pt idx="778">
                  <c:v>1529.796736632956</c:v>
                </c:pt>
                <c:pt idx="779">
                  <c:v>1519.5007762569944</c:v>
                </c:pt>
                <c:pt idx="780">
                  <c:v>1509.1283112289368</c:v>
                </c:pt>
                <c:pt idx="781">
                  <c:v>1498.6796662088132</c:v>
                </c:pt>
                <c:pt idx="782">
                  <c:v>1488.1551675998685</c:v>
                </c:pt>
                <c:pt idx="783">
                  <c:v>1477.5551435241</c:v>
                </c:pt>
                <c:pt idx="784">
                  <c:v>1466.8799237976827</c:v>
                </c:pt>
                <c:pt idx="785">
                  <c:v>1456.1298399062841</c:v>
                </c:pt>
                <c:pt idx="786">
                  <c:v>1445.3052249802752</c:v>
                </c:pt>
                <c:pt idx="787">
                  <c:v>1434.4064137698385</c:v>
                </c:pt>
                <c:pt idx="788">
                  <c:v>1423.4337426199797</c:v>
                </c:pt>
                <c:pt idx="789">
                  <c:v>1412.3875494454444</c:v>
                </c:pt>
                <c:pt idx="790">
                  <c:v>1401.2681737055448</c:v>
                </c:pt>
                <c:pt idx="791">
                  <c:v>1390.0759563788993</c:v>
                </c:pt>
                <c:pt idx="792">
                  <c:v>1378.8112399380907</c:v>
                </c:pt>
                <c:pt idx="793">
                  <c:v>1367.4743683242432</c:v>
                </c:pt>
                <c:pt idx="794">
                  <c:v>1356.0656869215259</c:v>
                </c:pt>
                <c:pt idx="795">
                  <c:v>1344.5855425315829</c:v>
                </c:pt>
                <c:pt idx="796">
                  <c:v>1333.0342833478956</c:v>
                </c:pt>
                <c:pt idx="797">
                  <c:v>1321.412258930081</c:v>
                </c:pt>
                <c:pt idx="798">
                  <c:v>1309.7198201781287</c:v>
                </c:pt>
                <c:pt idx="799">
                  <c:v>1297.9573193065803</c:v>
                </c:pt>
                <c:pt idx="800">
                  <c:v>1286.1251098186556</c:v>
                </c:pt>
                <c:pt idx="801">
                  <c:v>1274.2235464803284</c:v>
                </c:pt>
                <c:pt idx="802">
                  <c:v>1262.2529852943558</c:v>
                </c:pt>
                <c:pt idx="803">
                  <c:v>1250.2137834742646</c:v>
                </c:pt>
                <c:pt idx="804">
                  <c:v>1238.1062994182987</c:v>
                </c:pt>
                <c:pt idx="805">
                  <c:v>1225.9308926833301</c:v>
                </c:pt>
                <c:pt idx="806">
                  <c:v>1213.6879239587377</c:v>
                </c:pt>
                <c:pt idx="807">
                  <c:v>1201.3777550402583</c:v>
                </c:pt>
                <c:pt idx="808">
                  <c:v>1189.0007488038113</c:v>
                </c:pt>
                <c:pt idx="809">
                  <c:v>1176.5572691793031</c:v>
                </c:pt>
                <c:pt idx="810">
                  <c:v>1164.0476811244114</c:v>
                </c:pt>
                <c:pt idx="811">
                  <c:v>1151.4723505983573</c:v>
                </c:pt>
                <c:pt idx="812">
                  <c:v>1138.8316445356643</c:v>
                </c:pt>
                <c:pt idx="813">
                  <c:v>1126.1259308199114</c:v>
                </c:pt>
                <c:pt idx="814">
                  <c:v>1113.3555782574808</c:v>
                </c:pt>
                <c:pt idx="815">
                  <c:v>1100.5209565513053</c:v>
                </c:pt>
                <c:pt idx="816">
                  <c:v>1087.6224362746191</c:v>
                </c:pt>
                <c:pt idx="817">
                  <c:v>1074.6603888447139</c:v>
                </c:pt>
                <c:pt idx="818">
                  <c:v>1061.635186496706</c:v>
                </c:pt>
                <c:pt idx="819">
                  <c:v>1048.5472022573153</c:v>
                </c:pt>
                <c:pt idx="820">
                  <c:v>1035.3968099186616</c:v>
                </c:pt>
                <c:pt idx="821">
                  <c:v>1022.1843840120802</c:v>
                </c:pt>
                <c:pt idx="822">
                  <c:v>1008.910299781962</c:v>
                </c:pt>
                <c:pt idx="823">
                  <c:v>995.57493315961904</c:v>
                </c:pt>
                <c:pt idx="824">
                  <c:v>982.17866073718119</c:v>
                </c:pt>
                <c:pt idx="825">
                  <c:v>968.72185974152512</c:v>
                </c:pt>
                <c:pt idx="826">
                  <c:v>955.20490800824132</c:v>
                </c:pt>
                <c:pt idx="827">
                  <c:v>941.62818395564022</c:v>
                </c:pt>
                <c:pt idx="828">
                  <c:v>927.99206655880221</c:v>
                </c:pt>
                <c:pt idx="829">
                  <c:v>914.29693532367412</c:v>
                </c:pt>
                <c:pt idx="830">
                  <c:v>900.54317026121544</c:v>
                </c:pt>
                <c:pt idx="831">
                  <c:v>886.73115186159839</c:v>
                </c:pt>
                <c:pt idx="832">
                  <c:v>872.86126106846348</c:v>
                </c:pt>
                <c:pt idx="833">
                  <c:v>858.93387925323543</c:v>
                </c:pt>
                <c:pt idx="834">
                  <c:v>844.94938818950152</c:v>
                </c:pt>
                <c:pt idx="835">
                  <c:v>830.90817002745587</c:v>
                </c:pt>
                <c:pt idx="836">
                  <c:v>816.81060726841315</c:v>
                </c:pt>
                <c:pt idx="837">
                  <c:v>802.65708273939424</c:v>
                </c:pt>
                <c:pt idx="838">
                  <c:v>788.44797956778746</c:v>
                </c:pt>
                <c:pt idx="839">
                  <c:v>774.18368115608791</c:v>
                </c:pt>
                <c:pt idx="840">
                  <c:v>759.86457115671885</c:v>
                </c:pt>
                <c:pt idx="841">
                  <c:v>745.49103344693719</c:v>
                </c:pt>
                <c:pt idx="842">
                  <c:v>731.06345210382653</c:v>
                </c:pt>
                <c:pt idx="843">
                  <c:v>716.58221137938096</c:v>
                </c:pt>
                <c:pt idx="844">
                  <c:v>702.04769567568235</c:v>
                </c:pt>
                <c:pt idx="845">
                  <c:v>687.46028952017366</c:v>
                </c:pt>
                <c:pt idx="846">
                  <c:v>672.82037754103237</c:v>
                </c:pt>
                <c:pt idx="847">
                  <c:v>658.12834444264524</c:v>
                </c:pt>
                <c:pt idx="848">
                  <c:v>643.38457498118896</c:v>
                </c:pt>
                <c:pt idx="849">
                  <c:v>628.58945394031798</c:v>
                </c:pt>
                <c:pt idx="850">
                  <c:v>613.74336610696378</c:v>
                </c:pt>
                <c:pt idx="851">
                  <c:v>598.846696247247</c:v>
                </c:pt>
                <c:pt idx="852">
                  <c:v>583.89982908250613</c:v>
                </c:pt>
                <c:pt idx="853">
                  <c:v>568.90314926544488</c:v>
                </c:pt>
                <c:pt idx="854">
                  <c:v>553.85704135640151</c:v>
                </c:pt>
                <c:pt idx="855">
                  <c:v>538.76188979974188</c:v>
                </c:pt>
                <c:pt idx="856">
                  <c:v>523.61807890037994</c:v>
                </c:pt>
                <c:pt idx="857">
                  <c:v>508.4259928004272</c:v>
                </c:pt>
                <c:pt idx="858">
                  <c:v>493.18601545597426</c:v>
                </c:pt>
                <c:pt idx="859">
                  <c:v>477.89853061400703</c:v>
                </c:pt>
                <c:pt idx="860">
                  <c:v>462.56392178945981</c:v>
                </c:pt>
                <c:pt idx="861">
                  <c:v>447.18257224240773</c:v>
                </c:pt>
                <c:pt idx="862">
                  <c:v>431.75486495540105</c:v>
                </c:pt>
                <c:pt idx="863">
                  <c:v>416.28118261094374</c:v>
                </c:pt>
                <c:pt idx="864">
                  <c:v>400.76190756911842</c:v>
                </c:pt>
                <c:pt idx="865">
                  <c:v>385.1974218453604</c:v>
                </c:pt>
                <c:pt idx="866">
                  <c:v>369.58810708838257</c:v>
                </c:pt>
                <c:pt idx="867">
                  <c:v>353.93434455825383</c:v>
                </c:pt>
                <c:pt idx="868">
                  <c:v>338.23651510463282</c:v>
                </c:pt>
                <c:pt idx="869">
                  <c:v>322.49499914515951</c:v>
                </c:pt>
                <c:pt idx="870">
                  <c:v>306.71017664400654</c:v>
                </c:pt>
                <c:pt idx="871">
                  <c:v>290.88242709059233</c:v>
                </c:pt>
                <c:pt idx="872">
                  <c:v>275.01212947845835</c:v>
                </c:pt>
                <c:pt idx="873">
                  <c:v>259.09966228431176</c:v>
                </c:pt>
                <c:pt idx="874">
                  <c:v>243.14540344723656</c:v>
                </c:pt>
                <c:pt idx="875">
                  <c:v>227.149730348074</c:v>
                </c:pt>
                <c:pt idx="876">
                  <c:v>211.11301978897484</c:v>
                </c:pt>
                <c:pt idx="877">
                  <c:v>195.03564797312512</c:v>
                </c:pt>
                <c:pt idx="878">
                  <c:v>178.91799048464708</c:v>
                </c:pt>
                <c:pt idx="879">
                  <c:v>162.76042226867722</c:v>
                </c:pt>
                <c:pt idx="880">
                  <c:v>146.56331761162301</c:v>
                </c:pt>
                <c:pt idx="881">
                  <c:v>130.32705012160008</c:v>
                </c:pt>
                <c:pt idx="882">
                  <c:v>114.05199270905139</c:v>
                </c:pt>
                <c:pt idx="883">
                  <c:v>97.738517567550076</c:v>
                </c:pt>
                <c:pt idx="884">
                  <c:v>81.386996154787397</c:v>
                </c:pt>
                <c:pt idx="885">
                  <c:v>64.997799173747396</c:v>
                </c:pt>
                <c:pt idx="886">
                  <c:v>48.571296554069662</c:v>
                </c:pt>
                <c:pt idx="887">
                  <c:v>32.107857433601637</c:v>
                </c:pt>
                <c:pt idx="888">
                  <c:v>15.607850140141867</c:v>
                </c:pt>
                <c:pt idx="889">
                  <c:v>-0.92835782662458399</c:v>
                </c:pt>
                <c:pt idx="890">
                  <c:v>-0.94491206098317293</c:v>
                </c:pt>
                <c:pt idx="891">
                  <c:v>-0.96146633099248613</c:v>
                </c:pt>
                <c:pt idx="892">
                  <c:v>-0.97802063665215921</c:v>
                </c:pt>
                <c:pt idx="893">
                  <c:v>-0.9945749779618277</c:v>
                </c:pt>
                <c:pt idx="894">
                  <c:v>-1.0111293549211271</c:v>
                </c:pt>
                <c:pt idx="895">
                  <c:v>-1.027683767529693</c:v>
                </c:pt>
                <c:pt idx="896">
                  <c:v>-1.044238215787161</c:v>
                </c:pt>
                <c:pt idx="897">
                  <c:v>-1.0607926996931669</c:v>
                </c:pt>
                <c:pt idx="898">
                  <c:v>-1.0773472192473461</c:v>
                </c:pt>
                <c:pt idx="899">
                  <c:v>-1.093901774449334</c:v>
                </c:pt>
                <c:pt idx="900">
                  <c:v>-1.1104563652987665</c:v>
                </c:pt>
                <c:pt idx="901">
                  <c:v>-1.1270109917952789</c:v>
                </c:pt>
                <c:pt idx="902">
                  <c:v>-1.1435656539385068</c:v>
                </c:pt>
                <c:pt idx="903">
                  <c:v>-1.160120351728086</c:v>
                </c:pt>
                <c:pt idx="904">
                  <c:v>-1.176675085163652</c:v>
                </c:pt>
                <c:pt idx="905">
                  <c:v>-1.1932298542448403</c:v>
                </c:pt>
                <c:pt idx="906">
                  <c:v>-1.2097846589712864</c:v>
                </c:pt>
                <c:pt idx="907">
                  <c:v>-1.2263394993426262</c:v>
                </c:pt>
                <c:pt idx="908">
                  <c:v>-1.2428943753584951</c:v>
                </c:pt>
                <c:pt idx="909">
                  <c:v>-1.2594492870185285</c:v>
                </c:pt>
                <c:pt idx="910">
                  <c:v>-1.2760042343223623</c:v>
                </c:pt>
                <c:pt idx="911">
                  <c:v>-1.2925592172696319</c:v>
                </c:pt>
                <c:pt idx="912">
                  <c:v>-1.309114235859973</c:v>
                </c:pt>
                <c:pt idx="913">
                  <c:v>-1.3256692900930211</c:v>
                </c:pt>
                <c:pt idx="914">
                  <c:v>-1.3422243799684119</c:v>
                </c:pt>
                <c:pt idx="915">
                  <c:v>-1.358779505485781</c:v>
                </c:pt>
                <c:pt idx="916">
                  <c:v>-1.3753346666447637</c:v>
                </c:pt>
                <c:pt idx="917">
                  <c:v>-1.3918898634449959</c:v>
                </c:pt>
                <c:pt idx="918">
                  <c:v>-1.408445095886113</c:v>
                </c:pt>
                <c:pt idx="919">
                  <c:v>-1.4250003639677509</c:v>
                </c:pt>
                <c:pt idx="920">
                  <c:v>-1.4415556676895449</c:v>
                </c:pt>
                <c:pt idx="921">
                  <c:v>-1.4581110070511307</c:v>
                </c:pt>
                <c:pt idx="922">
                  <c:v>-1.474666382052144</c:v>
                </c:pt>
                <c:pt idx="923">
                  <c:v>-1.4912217926922202</c:v>
                </c:pt>
                <c:pt idx="924">
                  <c:v>-1.5077772389709949</c:v>
                </c:pt>
                <c:pt idx="925">
                  <c:v>-1.5243327208881039</c:v>
                </c:pt>
                <c:pt idx="926">
                  <c:v>-1.5408882384431826</c:v>
                </c:pt>
                <c:pt idx="927">
                  <c:v>-1.5574437916358668</c:v>
                </c:pt>
                <c:pt idx="928">
                  <c:v>-1.5739993804657919</c:v>
                </c:pt>
                <c:pt idx="929">
                  <c:v>-1.5905550049325936</c:v>
                </c:pt>
                <c:pt idx="930">
                  <c:v>-1.6071106650359075</c:v>
                </c:pt>
                <c:pt idx="931">
                  <c:v>-1.6236663607753692</c:v>
                </c:pt>
                <c:pt idx="932">
                  <c:v>-1.6402220921506143</c:v>
                </c:pt>
                <c:pt idx="933">
                  <c:v>-1.6567778591612785</c:v>
                </c:pt>
                <c:pt idx="934">
                  <c:v>-1.6733336618069974</c:v>
                </c:pt>
                <c:pt idx="935">
                  <c:v>-1.6898895000874066</c:v>
                </c:pt>
                <c:pt idx="936">
                  <c:v>-1.7064453740021415</c:v>
                </c:pt>
                <c:pt idx="937">
                  <c:v>-1.7230012835508379</c:v>
                </c:pt>
                <c:pt idx="938">
                  <c:v>-1.7395572287331313</c:v>
                </c:pt>
                <c:pt idx="939">
                  <c:v>-1.7561132095486576</c:v>
                </c:pt>
                <c:pt idx="940">
                  <c:v>-1.772669225997052</c:v>
                </c:pt>
                <c:pt idx="941">
                  <c:v>-1.7892252780779505</c:v>
                </c:pt>
                <c:pt idx="942">
                  <c:v>-1.8057813657909885</c:v>
                </c:pt>
                <c:pt idx="943">
                  <c:v>-1.8223374891358015</c:v>
                </c:pt>
                <c:pt idx="944">
                  <c:v>-1.8388936481120255</c:v>
                </c:pt>
                <c:pt idx="945">
                  <c:v>-1.8554498427192958</c:v>
                </c:pt>
                <c:pt idx="946">
                  <c:v>-1.8720060729572481</c:v>
                </c:pt>
                <c:pt idx="947">
                  <c:v>-1.8885623388255179</c:v>
                </c:pt>
                <c:pt idx="948">
                  <c:v>-1.905118640323741</c:v>
                </c:pt>
                <c:pt idx="949">
                  <c:v>-1.9216749774515529</c:v>
                </c:pt>
                <c:pt idx="950">
                  <c:v>-1.9382313502085895</c:v>
                </c:pt>
                <c:pt idx="951">
                  <c:v>-1.9547877585944862</c:v>
                </c:pt>
                <c:pt idx="952">
                  <c:v>-1.9713442026088785</c:v>
                </c:pt>
                <c:pt idx="953">
                  <c:v>-1.9879006822514023</c:v>
                </c:pt>
                <c:pt idx="954">
                  <c:v>-2.0044571975216932</c:v>
                </c:pt>
                <c:pt idx="955">
                  <c:v>-2.0210137484193864</c:v>
                </c:pt>
                <c:pt idx="956">
                  <c:v>-2.0375703349441179</c:v>
                </c:pt>
                <c:pt idx="957">
                  <c:v>-2.0541269570955234</c:v>
                </c:pt>
                <c:pt idx="958">
                  <c:v>-2.0706836148732384</c:v>
                </c:pt>
                <c:pt idx="959">
                  <c:v>-2.0872403082768982</c:v>
                </c:pt>
                <c:pt idx="960">
                  <c:v>-2.1037970373061392</c:v>
                </c:pt>
                <c:pt idx="961">
                  <c:v>-2.1203538019605963</c:v>
                </c:pt>
                <c:pt idx="962">
                  <c:v>-2.1369106022399054</c:v>
                </c:pt>
                <c:pt idx="963">
                  <c:v>-2.1534674381437022</c:v>
                </c:pt>
                <c:pt idx="964">
                  <c:v>-2.1700243096716223</c:v>
                </c:pt>
                <c:pt idx="965">
                  <c:v>-2.1865812168233014</c:v>
                </c:pt>
                <c:pt idx="966">
                  <c:v>-2.203138159598375</c:v>
                </c:pt>
                <c:pt idx="967">
                  <c:v>-2.2196951379964789</c:v>
                </c:pt>
                <c:pt idx="968">
                  <c:v>-2.2362521520172485</c:v>
                </c:pt>
                <c:pt idx="969">
                  <c:v>-2.2528092016603196</c:v>
                </c:pt>
                <c:pt idx="970">
                  <c:v>-2.2693662869253277</c:v>
                </c:pt>
                <c:pt idx="971">
                  <c:v>-2.2859234078119086</c:v>
                </c:pt>
                <c:pt idx="972">
                  <c:v>-2.3024805643196982</c:v>
                </c:pt>
                <c:pt idx="973">
                  <c:v>-2.3190377564483318</c:v>
                </c:pt>
                <c:pt idx="974">
                  <c:v>-2.3355949841974448</c:v>
                </c:pt>
                <c:pt idx="975">
                  <c:v>-2.3521522475666732</c:v>
                </c:pt>
                <c:pt idx="976">
                  <c:v>-2.3687095465556527</c:v>
                </c:pt>
                <c:pt idx="977">
                  <c:v>-2.3852668811640187</c:v>
                </c:pt>
                <c:pt idx="978">
                  <c:v>-2.4018242513914072</c:v>
                </c:pt>
                <c:pt idx="979">
                  <c:v>-2.4183816572374535</c:v>
                </c:pt>
                <c:pt idx="980">
                  <c:v>-2.4349390987017934</c:v>
                </c:pt>
                <c:pt idx="981">
                  <c:v>-2.4514965757840623</c:v>
                </c:pt>
                <c:pt idx="982">
                  <c:v>-2.4680540884838962</c:v>
                </c:pt>
                <c:pt idx="983">
                  <c:v>-2.4846116368009308</c:v>
                </c:pt>
                <c:pt idx="984">
                  <c:v>-2.5011692207348015</c:v>
                </c:pt>
                <c:pt idx="985">
                  <c:v>-2.5177268402851438</c:v>
                </c:pt>
                <c:pt idx="986">
                  <c:v>-2.534284495451594</c:v>
                </c:pt>
                <c:pt idx="987">
                  <c:v>-2.5508421862337869</c:v>
                </c:pt>
                <c:pt idx="988">
                  <c:v>-2.5673999126313589</c:v>
                </c:pt>
                <c:pt idx="989">
                  <c:v>-2.583957674643945</c:v>
                </c:pt>
                <c:pt idx="990">
                  <c:v>-2.6005154722711814</c:v>
                </c:pt>
                <c:pt idx="991">
                  <c:v>-2.6170733055127036</c:v>
                </c:pt>
                <c:pt idx="992">
                  <c:v>-2.6336311743681473</c:v>
                </c:pt>
                <c:pt idx="993">
                  <c:v>-2.650189078837148</c:v>
                </c:pt>
                <c:pt idx="994">
                  <c:v>-2.6667470189193416</c:v>
                </c:pt>
                <c:pt idx="995">
                  <c:v>-2.6833049946143634</c:v>
                </c:pt>
                <c:pt idx="996">
                  <c:v>-2.6998630059218494</c:v>
                </c:pt>
                <c:pt idx="997">
                  <c:v>-2.7164210528414348</c:v>
                </c:pt>
                <c:pt idx="998">
                  <c:v>-2.7329791353727555</c:v>
                </c:pt>
                <c:pt idx="999">
                  <c:v>-2.7495372535154474</c:v>
                </c:pt>
                <c:pt idx="1000">
                  <c:v>-2.7660954072691459</c:v>
                </c:pt>
              </c:numCache>
            </c:numRef>
          </c:yVal>
          <c:smooth val="1"/>
          <c:extLst>
            <c:ext xmlns:c16="http://schemas.microsoft.com/office/drawing/2014/chart" uri="{C3380CC4-5D6E-409C-BE32-E72D297353CC}">
              <c16:uniqueId val="{00000001-AEC5-4DB4-900B-02E79FDE56EC}"/>
            </c:ext>
          </c:extLst>
        </c:ser>
        <c:ser>
          <c:idx val="1"/>
          <c:order val="2"/>
          <c:tx>
            <c:strRef>
              <c:f>Trajecto!$B$107</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43.900100000000293</c:v>
                </c:pt>
                <c:pt idx="891">
                  <c:v>43.900200000000297</c:v>
                </c:pt>
                <c:pt idx="892">
                  <c:v>43.9003000000003</c:v>
                </c:pt>
                <c:pt idx="893">
                  <c:v>43.900400000000303</c:v>
                </c:pt>
                <c:pt idx="894">
                  <c:v>43.900500000000306</c:v>
                </c:pt>
                <c:pt idx="895">
                  <c:v>43.90060000000031</c:v>
                </c:pt>
                <c:pt idx="896">
                  <c:v>43.900700000000313</c:v>
                </c:pt>
                <c:pt idx="897">
                  <c:v>43.900800000000316</c:v>
                </c:pt>
                <c:pt idx="898">
                  <c:v>43.90090000000032</c:v>
                </c:pt>
                <c:pt idx="899">
                  <c:v>43.901000000000323</c:v>
                </c:pt>
                <c:pt idx="900">
                  <c:v>43.901100000000326</c:v>
                </c:pt>
                <c:pt idx="901">
                  <c:v>43.90120000000033</c:v>
                </c:pt>
                <c:pt idx="902">
                  <c:v>43.901300000000333</c:v>
                </c:pt>
                <c:pt idx="903">
                  <c:v>43.901400000000336</c:v>
                </c:pt>
                <c:pt idx="904">
                  <c:v>43.90150000000034</c:v>
                </c:pt>
                <c:pt idx="905">
                  <c:v>43.901600000000343</c:v>
                </c:pt>
                <c:pt idx="906">
                  <c:v>43.901700000000346</c:v>
                </c:pt>
                <c:pt idx="907">
                  <c:v>43.90180000000035</c:v>
                </c:pt>
                <c:pt idx="908">
                  <c:v>43.901900000000353</c:v>
                </c:pt>
                <c:pt idx="909">
                  <c:v>43.902000000000356</c:v>
                </c:pt>
                <c:pt idx="910">
                  <c:v>43.90210000000036</c:v>
                </c:pt>
                <c:pt idx="911">
                  <c:v>43.902200000000363</c:v>
                </c:pt>
                <c:pt idx="912">
                  <c:v>43.902300000000366</c:v>
                </c:pt>
                <c:pt idx="913">
                  <c:v>43.90240000000037</c:v>
                </c:pt>
                <c:pt idx="914">
                  <c:v>43.902500000000373</c:v>
                </c:pt>
                <c:pt idx="915">
                  <c:v>43.902600000000376</c:v>
                </c:pt>
                <c:pt idx="916">
                  <c:v>43.90270000000038</c:v>
                </c:pt>
                <c:pt idx="917">
                  <c:v>43.902800000000383</c:v>
                </c:pt>
                <c:pt idx="918">
                  <c:v>43.902900000000386</c:v>
                </c:pt>
                <c:pt idx="919">
                  <c:v>43.903000000000389</c:v>
                </c:pt>
                <c:pt idx="920">
                  <c:v>43.903100000000393</c:v>
                </c:pt>
                <c:pt idx="921">
                  <c:v>43.903200000000396</c:v>
                </c:pt>
                <c:pt idx="922">
                  <c:v>43.903300000000399</c:v>
                </c:pt>
                <c:pt idx="923">
                  <c:v>43.903400000000403</c:v>
                </c:pt>
                <c:pt idx="924">
                  <c:v>43.903500000000406</c:v>
                </c:pt>
                <c:pt idx="925">
                  <c:v>43.903600000000409</c:v>
                </c:pt>
                <c:pt idx="926">
                  <c:v>43.903700000000413</c:v>
                </c:pt>
                <c:pt idx="927">
                  <c:v>43.903800000000416</c:v>
                </c:pt>
                <c:pt idx="928">
                  <c:v>43.903900000000419</c:v>
                </c:pt>
                <c:pt idx="929">
                  <c:v>43.904000000000423</c:v>
                </c:pt>
                <c:pt idx="930">
                  <c:v>43.904100000000426</c:v>
                </c:pt>
                <c:pt idx="931">
                  <c:v>43.904200000000429</c:v>
                </c:pt>
                <c:pt idx="932">
                  <c:v>43.904300000000433</c:v>
                </c:pt>
                <c:pt idx="933">
                  <c:v>43.904400000000436</c:v>
                </c:pt>
                <c:pt idx="934">
                  <c:v>43.904500000000439</c:v>
                </c:pt>
                <c:pt idx="935">
                  <c:v>43.904600000000443</c:v>
                </c:pt>
                <c:pt idx="936">
                  <c:v>43.904700000000446</c:v>
                </c:pt>
                <c:pt idx="937">
                  <c:v>43.904800000000449</c:v>
                </c:pt>
                <c:pt idx="938">
                  <c:v>43.904900000000453</c:v>
                </c:pt>
                <c:pt idx="939">
                  <c:v>43.905000000000456</c:v>
                </c:pt>
                <c:pt idx="940">
                  <c:v>43.905100000000459</c:v>
                </c:pt>
                <c:pt idx="941">
                  <c:v>43.905200000000463</c:v>
                </c:pt>
                <c:pt idx="942">
                  <c:v>43.905300000000466</c:v>
                </c:pt>
                <c:pt idx="943">
                  <c:v>43.905400000000469</c:v>
                </c:pt>
                <c:pt idx="944">
                  <c:v>43.905500000000472</c:v>
                </c:pt>
                <c:pt idx="945">
                  <c:v>43.905600000000476</c:v>
                </c:pt>
                <c:pt idx="946">
                  <c:v>43.905700000000479</c:v>
                </c:pt>
                <c:pt idx="947">
                  <c:v>43.905800000000482</c:v>
                </c:pt>
                <c:pt idx="948">
                  <c:v>43.905900000000486</c:v>
                </c:pt>
                <c:pt idx="949">
                  <c:v>43.906000000000489</c:v>
                </c:pt>
                <c:pt idx="950">
                  <c:v>43.906100000000492</c:v>
                </c:pt>
                <c:pt idx="951">
                  <c:v>43.906200000000496</c:v>
                </c:pt>
                <c:pt idx="952">
                  <c:v>43.906300000000499</c:v>
                </c:pt>
                <c:pt idx="953">
                  <c:v>43.906400000000502</c:v>
                </c:pt>
                <c:pt idx="954">
                  <c:v>43.906500000000506</c:v>
                </c:pt>
                <c:pt idx="955">
                  <c:v>43.906600000000509</c:v>
                </c:pt>
                <c:pt idx="956">
                  <c:v>43.906700000000512</c:v>
                </c:pt>
                <c:pt idx="957">
                  <c:v>43.906800000000516</c:v>
                </c:pt>
                <c:pt idx="958">
                  <c:v>43.906900000000519</c:v>
                </c:pt>
                <c:pt idx="959">
                  <c:v>43.907000000000522</c:v>
                </c:pt>
                <c:pt idx="960">
                  <c:v>43.907100000000526</c:v>
                </c:pt>
                <c:pt idx="961">
                  <c:v>43.907200000000529</c:v>
                </c:pt>
                <c:pt idx="962">
                  <c:v>43.907300000000532</c:v>
                </c:pt>
                <c:pt idx="963">
                  <c:v>43.907400000000536</c:v>
                </c:pt>
                <c:pt idx="964">
                  <c:v>43.907500000000539</c:v>
                </c:pt>
                <c:pt idx="965">
                  <c:v>43.907600000000542</c:v>
                </c:pt>
                <c:pt idx="966">
                  <c:v>43.907700000000546</c:v>
                </c:pt>
                <c:pt idx="967">
                  <c:v>43.907800000000549</c:v>
                </c:pt>
                <c:pt idx="968">
                  <c:v>43.907900000000552</c:v>
                </c:pt>
                <c:pt idx="969">
                  <c:v>43.908000000000555</c:v>
                </c:pt>
                <c:pt idx="970">
                  <c:v>43.908100000000559</c:v>
                </c:pt>
                <c:pt idx="971">
                  <c:v>43.908200000000562</c:v>
                </c:pt>
                <c:pt idx="972">
                  <c:v>43.908300000000565</c:v>
                </c:pt>
                <c:pt idx="973">
                  <c:v>43.908400000000569</c:v>
                </c:pt>
                <c:pt idx="974">
                  <c:v>43.908500000000572</c:v>
                </c:pt>
                <c:pt idx="975">
                  <c:v>43.908600000000575</c:v>
                </c:pt>
                <c:pt idx="976">
                  <c:v>43.908700000000579</c:v>
                </c:pt>
                <c:pt idx="977">
                  <c:v>43.908800000000582</c:v>
                </c:pt>
                <c:pt idx="978">
                  <c:v>43.908900000000585</c:v>
                </c:pt>
                <c:pt idx="979">
                  <c:v>43.909000000000589</c:v>
                </c:pt>
                <c:pt idx="980">
                  <c:v>43.909100000000592</c:v>
                </c:pt>
                <c:pt idx="981">
                  <c:v>43.909200000000595</c:v>
                </c:pt>
                <c:pt idx="982">
                  <c:v>43.909300000000599</c:v>
                </c:pt>
                <c:pt idx="983">
                  <c:v>43.909400000000602</c:v>
                </c:pt>
                <c:pt idx="984">
                  <c:v>43.909500000000605</c:v>
                </c:pt>
                <c:pt idx="985">
                  <c:v>43.909600000000609</c:v>
                </c:pt>
                <c:pt idx="986">
                  <c:v>43.909700000000612</c:v>
                </c:pt>
                <c:pt idx="987">
                  <c:v>43.909800000000615</c:v>
                </c:pt>
                <c:pt idx="988">
                  <c:v>43.909900000000619</c:v>
                </c:pt>
                <c:pt idx="989">
                  <c:v>43.910000000000622</c:v>
                </c:pt>
                <c:pt idx="990">
                  <c:v>43.910100000000625</c:v>
                </c:pt>
                <c:pt idx="991">
                  <c:v>43.910200000000629</c:v>
                </c:pt>
                <c:pt idx="992">
                  <c:v>43.910300000000632</c:v>
                </c:pt>
                <c:pt idx="993">
                  <c:v>43.910400000000635</c:v>
                </c:pt>
                <c:pt idx="994">
                  <c:v>43.910500000000638</c:v>
                </c:pt>
                <c:pt idx="995">
                  <c:v>43.910600000000642</c:v>
                </c:pt>
                <c:pt idx="996">
                  <c:v>43.910700000000645</c:v>
                </c:pt>
                <c:pt idx="997">
                  <c:v>43.910800000000648</c:v>
                </c:pt>
                <c:pt idx="998">
                  <c:v>43.910900000000652</c:v>
                </c:pt>
                <c:pt idx="999">
                  <c:v>43.911000000000655</c:v>
                </c:pt>
                <c:pt idx="1000">
                  <c:v>43.911100000000658</c:v>
                </c:pt>
              </c:numCache>
            </c:numRef>
          </c:xVal>
          <c:yVal>
            <c:numRef>
              <c:f>Calculs!$K$4:$K$1004</c:f>
              <c:numCache>
                <c:formatCode>0.00</c:formatCode>
                <c:ptCount val="1001"/>
                <c:pt idx="0">
                  <c:v>0</c:v>
                </c:pt>
                <c:pt idx="1">
                  <c:v>2.6452165658300903E-4</c:v>
                </c:pt>
                <c:pt idx="2">
                  <c:v>1.8747213115951592E-3</c:v>
                </c:pt>
                <c:pt idx="3">
                  <c:v>5.9861442544103249E-3</c:v>
                </c:pt>
                <c:pt idx="4">
                  <c:v>1.3276817814292706E-2</c:v>
                </c:pt>
                <c:pt idx="5">
                  <c:v>2.4425215615250705E-2</c:v>
                </c:pt>
                <c:pt idx="6">
                  <c:v>4.0110325488383718E-2</c:v>
                </c:pt>
                <c:pt idx="7">
                  <c:v>6.1011717008833427E-2</c:v>
                </c:pt>
                <c:pt idx="8">
                  <c:v>8.780960867822267E-2</c:v>
                </c:pt>
                <c:pt idx="9">
                  <c:v>0.12118493477305489</c:v>
                </c:pt>
                <c:pt idx="10">
                  <c:v>0.16181941187915372</c:v>
                </c:pt>
                <c:pt idx="11">
                  <c:v>0.21020066472836854</c:v>
                </c:pt>
                <c:pt idx="12">
                  <c:v>0.26642697690046763</c:v>
                </c:pt>
                <c:pt idx="13">
                  <c:v>0.33040022988535855</c:v>
                </c:pt>
                <c:pt idx="14">
                  <c:v>0.40201918266339187</c:v>
                </c:pt>
                <c:pt idx="15">
                  <c:v>0.48118095439903419</c:v>
                </c:pt>
                <c:pt idx="16">
                  <c:v>0.56778250976729483</c:v>
                </c:pt>
                <c:pt idx="17">
                  <c:v>0.66172066136732088</c:v>
                </c:pt>
                <c:pt idx="18">
                  <c:v>0.76289207213410049</c:v>
                </c:pt>
                <c:pt idx="19">
                  <c:v>0.87119325774803302</c:v>
                </c:pt>
                <c:pt idx="20">
                  <c:v>0.98652058904212536</c:v>
                </c:pt>
                <c:pt idx="21">
                  <c:v>1.1087702944065749</c:v>
                </c:pt>
                <c:pt idx="22">
                  <c:v>1.2378384621905032</c:v>
                </c:pt>
                <c:pt idx="23">
                  <c:v>1.3736210431006013</c:v>
                </c:pt>
                <c:pt idx="24">
                  <c:v>1.5160138525964557</c:v>
                </c:pt>
                <c:pt idx="25">
                  <c:v>1.6649125732823176</c:v>
                </c:pt>
                <c:pt idx="26">
                  <c:v>1.8202127572950877</c:v>
                </c:pt>
                <c:pt idx="27">
                  <c:v>1.9818359875719997</c:v>
                </c:pt>
                <c:pt idx="28">
                  <c:v>2.1497560753556342</c:v>
                </c:pt>
                <c:pt idx="29">
                  <c:v>2.3239729563518665</c:v>
                </c:pt>
                <c:pt idx="30">
                  <c:v>2.5044865494497888</c:v>
                </c:pt>
                <c:pt idx="31">
                  <c:v>2.6912967567064605</c:v>
                </c:pt>
                <c:pt idx="32">
                  <c:v>2.8844034633318785</c:v>
                </c:pt>
                <c:pt idx="33">
                  <c:v>3.0838065376741701</c:v>
                </c:pt>
                <c:pt idx="34">
                  <c:v>3.2895058312050081</c:v>
                </c:pt>
                <c:pt idx="35">
                  <c:v>3.5015011785052468</c:v>
                </c:pt>
                <c:pt idx="36">
                  <c:v>3.719792397250782</c:v>
                </c:pt>
                <c:pt idx="37">
                  <c:v>3.9443792881986361</c:v>
                </c:pt>
                <c:pt idx="38">
                  <c:v>4.1752468393287172</c:v>
                </c:pt>
                <c:pt idx="39">
                  <c:v>4.4123795689231065</c:v>
                </c:pt>
                <c:pt idx="40">
                  <c:v>4.6557763237240888</c:v>
                </c:pt>
                <c:pt idx="41">
                  <c:v>4.905435943895438</c:v>
                </c:pt>
                <c:pt idx="42">
                  <c:v>5.1613572684116509</c:v>
                </c:pt>
                <c:pt idx="43">
                  <c:v>5.4235391343909862</c:v>
                </c:pt>
                <c:pt idx="44">
                  <c:v>5.6919803764712604</c:v>
                </c:pt>
                <c:pt idx="45">
                  <c:v>5.9666798262247145</c:v>
                </c:pt>
                <c:pt idx="46">
                  <c:v>6.24763631160865</c:v>
                </c:pt>
                <c:pt idx="47">
                  <c:v>6.5348486564488955</c:v>
                </c:pt>
                <c:pt idx="48">
                  <c:v>6.8283156799534481</c:v>
                </c:pt>
                <c:pt idx="49">
                  <c:v>7.1280361962539267</c:v>
                </c:pt>
                <c:pt idx="50">
                  <c:v>7.4340090139726867</c:v>
                </c:pt>
                <c:pt idx="51">
                  <c:v>7.7462329358136586</c:v>
                </c:pt>
                <c:pt idx="52">
                  <c:v>8.0647067581751717</c:v>
                </c:pt>
                <c:pt idx="53">
                  <c:v>8.3894292707831539</c:v>
                </c:pt>
                <c:pt idx="54">
                  <c:v>8.7203992563432813</c:v>
                </c:pt>
                <c:pt idx="55">
                  <c:v>9.0576154902107557</c:v>
                </c:pt>
                <c:pt idx="56">
                  <c:v>9.4010767400764976</c:v>
                </c:pt>
                <c:pt idx="57">
                  <c:v>9.7507817656686875</c:v>
                </c:pt>
                <c:pt idx="58">
                  <c:v>10.106729318468615</c:v>
                </c:pt>
                <c:pt idx="59">
                  <c:v>10.468918141439941</c:v>
                </c:pt>
                <c:pt idx="60">
                  <c:v>10.837346968770524</c:v>
                </c:pt>
                <c:pt idx="61">
                  <c:v>11.212014525626016</c:v>
                </c:pt>
                <c:pt idx="62">
                  <c:v>11.592919527914532</c:v>
                </c:pt>
                <c:pt idx="63">
                  <c:v>11.980060682061726</c:v>
                </c:pt>
                <c:pt idx="64">
                  <c:v>12.373436684795646</c:v>
                </c:pt>
                <c:pt idx="65">
                  <c:v>12.773046222940831</c:v>
                </c:pt>
                <c:pt idx="66">
                  <c:v>13.17888797322111</c:v>
                </c:pt>
                <c:pt idx="67">
                  <c:v>13.590960602070622</c:v>
                </c:pt>
                <c:pt idx="68">
                  <c:v>14.009262765452601</c:v>
                </c:pt>
                <c:pt idx="69">
                  <c:v>14.433793108685522</c:v>
                </c:pt>
                <c:pt idx="70">
                  <c:v>14.864550266276204</c:v>
                </c:pt>
                <c:pt idx="71">
                  <c:v>15.30153286175951</c:v>
                </c:pt>
                <c:pt idx="72">
                  <c:v>15.74473921039629</c:v>
                </c:pt>
                <c:pt idx="73">
                  <c:v>16.1941670215645</c:v>
                </c:pt>
                <c:pt idx="74">
                  <c:v>16.64981369531241</c:v>
                </c:pt>
                <c:pt idx="75">
                  <c:v>17.111676619232473</c:v>
                </c:pt>
                <c:pt idx="76">
                  <c:v>17.579753168334534</c:v>
                </c:pt>
                <c:pt idx="77">
                  <c:v>18.054040704924116</c:v>
                </c:pt>
                <c:pt idx="78">
                  <c:v>18.534536578485511</c:v>
                </c:pt>
                <c:pt idx="79">
                  <c:v>19.021238125569482</c:v>
                </c:pt>
                <c:pt idx="80">
                  <c:v>19.514142669685356</c:v>
                </c:pt>
                <c:pt idx="81">
                  <c:v>20.013247521197304</c:v>
                </c:pt>
                <c:pt idx="82">
                  <c:v>20.518549977224648</c:v>
                </c:pt>
                <c:pt idx="83">
                  <c:v>21.030047321545993</c:v>
                </c:pt>
                <c:pt idx="84">
                  <c:v>21.547736824507041</c:v>
                </c:pt>
                <c:pt idx="85">
                  <c:v>22.071615742931925</c:v>
                </c:pt>
                <c:pt idx="86">
                  <c:v>22.601681320037926</c:v>
                </c:pt>
                <c:pt idx="87">
                  <c:v>23.137930785353412</c:v>
                </c:pt>
                <c:pt idx="88">
                  <c:v>23.680361354638897</c:v>
                </c:pt>
                <c:pt idx="89">
                  <c:v>24.228970229811086</c:v>
                </c:pt>
                <c:pt idx="90">
                  <c:v>24.783754598869791</c:v>
                </c:pt>
                <c:pt idx="91">
                  <c:v>25.344711635827593</c:v>
                </c:pt>
                <c:pt idx="92">
                  <c:v>25.911838500642183</c:v>
                </c:pt>
                <c:pt idx="93">
                  <c:v>26.485132339151235</c:v>
                </c:pt>
                <c:pt idx="94">
                  <c:v>27.064590283009771</c:v>
                </c:pt>
                <c:pt idx="95">
                  <c:v>27.650209449629873</c:v>
                </c:pt>
                <c:pt idx="96">
                  <c:v>28.241986942122701</c:v>
                </c:pt>
                <c:pt idx="97">
                  <c:v>28.839919849242715</c:v>
                </c:pt>
                <c:pt idx="98">
                  <c:v>29.444005245334044</c:v>
                </c:pt>
                <c:pt idx="99">
                  <c:v>30.054240190278886</c:v>
                </c:pt>
                <c:pt idx="100">
                  <c:v>30.670621729447941</c:v>
                </c:pt>
                <c:pt idx="101">
                  <c:v>31.293146893652736</c:v>
                </c:pt>
                <c:pt idx="102">
                  <c:v>31.921812699099831</c:v>
                </c:pt>
                <c:pt idx="103">
                  <c:v>32.556616147346823</c:v>
                </c:pt>
                <c:pt idx="104">
                  <c:v>33.197554225260106</c:v>
                </c:pt>
                <c:pt idx="105">
                  <c:v>33.844623904974306</c:v>
                </c:pt>
                <c:pt idx="106">
                  <c:v>34.497822143853369</c:v>
                </c:pt>
                <c:pt idx="107">
                  <c:v>35.157145884453257</c:v>
                </c:pt>
                <c:pt idx="108">
                  <c:v>35.822592054486151</c:v>
                </c:pt>
                <c:pt idx="109">
                  <c:v>36.494157566786164</c:v>
                </c:pt>
                <c:pt idx="110">
                  <c:v>37.171839319276536</c:v>
                </c:pt>
                <c:pt idx="111">
                  <c:v>37.855634194938219</c:v>
                </c:pt>
                <c:pt idx="112">
                  <c:v>38.54553906177982</c:v>
                </c:pt>
                <c:pt idx="113">
                  <c:v>39.241550772808921</c:v>
                </c:pt>
                <c:pt idx="114">
                  <c:v>39.943666166004668</c:v>
                </c:pt>
                <c:pt idx="115">
                  <c:v>40.651882064291641</c:v>
                </c:pt>
                <c:pt idx="116">
                  <c:v>41.366195275514919</c:v>
                </c:pt>
                <c:pt idx="117">
                  <c:v>42.086602592416405</c:v>
                </c:pt>
                <c:pt idx="118">
                  <c:v>42.813100792612275</c:v>
                </c:pt>
                <c:pt idx="119">
                  <c:v>43.54568663857156</c:v>
                </c:pt>
                <c:pt idx="120">
                  <c:v>44.284356877595876</c:v>
                </c:pt>
                <c:pt idx="121">
                  <c:v>45.029108241800195</c:v>
                </c:pt>
                <c:pt idx="122">
                  <c:v>45.779937448094699</c:v>
                </c:pt>
                <c:pt idx="123">
                  <c:v>46.536841198167657</c:v>
                </c:pt>
                <c:pt idx="124">
                  <c:v>47.299816178469307</c:v>
                </c:pt>
                <c:pt idx="125">
                  <c:v>48.068859060196708</c:v>
                </c:pt>
                <c:pt idx="126">
                  <c:v>48.843966499279595</c:v>
                </c:pt>
                <c:pt idx="127">
                  <c:v>49.62513513636712</c:v>
                </c:pt>
                <c:pt idx="128">
                  <c:v>50.412361596815529</c:v>
                </c:pt>
                <c:pt idx="129">
                  <c:v>51.205641130075634</c:v>
                </c:pt>
                <c:pt idx="130">
                  <c:v>52.004966247768643</c:v>
                </c:pt>
                <c:pt idx="131">
                  <c:v>52.810328082516584</c:v>
                </c:pt>
                <c:pt idx="132">
                  <c:v>53.621717748106796</c:v>
                </c:pt>
                <c:pt idx="133">
                  <c:v>54.439126339525743</c:v>
                </c:pt>
                <c:pt idx="134">
                  <c:v>55.262544932993777</c:v>
                </c:pt>
                <c:pt idx="135">
                  <c:v>56.091964586000927</c:v>
                </c:pt>
                <c:pt idx="136">
                  <c:v>56.927376337343617</c:v>
                </c:pt>
                <c:pt idx="137">
                  <c:v>57.768771207162288</c:v>
                </c:pt>
                <c:pt idx="138">
                  <c:v>58.616140196979977</c:v>
                </c:pt>
                <c:pt idx="139">
                  <c:v>59.46947428974174</c:v>
                </c:pt>
                <c:pt idx="140">
                  <c:v>60.328764449854958</c:v>
                </c:pt>
                <c:pt idx="141">
                  <c:v>61.194001623230506</c:v>
                </c:pt>
                <c:pt idx="142">
                  <c:v>62.06517673732472</c:v>
                </c:pt>
                <c:pt idx="143">
                  <c:v>62.942280701182206</c:v>
                </c:pt>
                <c:pt idx="144">
                  <c:v>63.825304405479422</c:v>
                </c:pt>
                <c:pt idx="145">
                  <c:v>64.71423872256905</c:v>
                </c:pt>
                <c:pt idx="146">
                  <c:v>65.609074506525104</c:v>
                </c:pt>
                <c:pt idx="147">
                  <c:v>66.509802593188823</c:v>
                </c:pt>
                <c:pt idx="148">
                  <c:v>67.416413800215238</c:v>
                </c:pt>
                <c:pt idx="149">
                  <c:v>68.328898927120534</c:v>
                </c:pt>
                <c:pt idx="150">
                  <c:v>69.247248755330006</c:v>
                </c:pt>
                <c:pt idx="151">
                  <c:v>70.171454048226764</c:v>
                </c:pt>
                <c:pt idx="152">
                  <c:v>71.101505551201114</c:v>
                </c:pt>
                <c:pt idx="153">
                  <c:v>72.037393991700569</c:v>
                </c:pt>
                <c:pt idx="154">
                  <c:v>72.979110079280517</c:v>
                </c:pt>
                <c:pt idx="155">
                  <c:v>73.926644505655489</c:v>
                </c:pt>
                <c:pt idx="156">
                  <c:v>74.879987944751093</c:v>
                </c:pt>
                <c:pt idx="157">
                  <c:v>75.839131052756542</c:v>
                </c:pt>
                <c:pt idx="158">
                  <c:v>76.804064468177742</c:v>
                </c:pt>
                <c:pt idx="159">
                  <c:v>77.774778811890997</c:v>
                </c:pt>
                <c:pt idx="160">
                  <c:v>78.751264687197249</c:v>
                </c:pt>
                <c:pt idx="161">
                  <c:v>79.733512679876952</c:v>
                </c:pt>
                <c:pt idx="162">
                  <c:v>80.721513358245417</c:v>
                </c:pt>
                <c:pt idx="163">
                  <c:v>81.715257273208707</c:v>
                </c:pt>
                <c:pt idx="164">
                  <c:v>82.714734958320108</c:v>
                </c:pt>
                <c:pt idx="165">
                  <c:v>83.719936929837061</c:v>
                </c:pt>
                <c:pt idx="166">
                  <c:v>84.730853686778673</c:v>
                </c:pt>
                <c:pt idx="167">
                  <c:v>85.74747571098365</c:v>
                </c:pt>
                <c:pt idx="168">
                  <c:v>86.769793467168739</c:v>
                </c:pt>
                <c:pt idx="169">
                  <c:v>87.797797402987726</c:v>
                </c:pt>
                <c:pt idx="170">
                  <c:v>88.831477949090768</c:v>
                </c:pt>
                <c:pt idx="171">
                  <c:v>89.870825519184336</c:v>
                </c:pt>
                <c:pt idx="172">
                  <c:v>90.915830510091496</c:v>
                </c:pt>
                <c:pt idx="173">
                  <c:v>91.966483301812701</c:v>
                </c:pt>
                <c:pt idx="174">
                  <c:v>93.022774257586988</c:v>
                </c:pt>
                <c:pt idx="175">
                  <c:v>94.084693723953635</c:v>
                </c:pt>
                <c:pt idx="176">
                  <c:v>95.152232030814204</c:v>
                </c:pt>
                <c:pt idx="177">
                  <c:v>96.225379491495033</c:v>
                </c:pt>
                <c:pt idx="178">
                  <c:v>97.304126402810084</c:v>
                </c:pt>
                <c:pt idx="179">
                  <c:v>98.388463045124269</c:v>
                </c:pt>
                <c:pt idx="180">
                  <c:v>99.478379682417099</c:v>
                </c:pt>
                <c:pt idx="181">
                  <c:v>100.57386656234674</c:v>
                </c:pt>
                <c:pt idx="182">
                  <c:v>101.67491391631442</c:v>
                </c:pt>
                <c:pt idx="183">
                  <c:v>102.78151195952928</c:v>
                </c:pt>
                <c:pt idx="184">
                  <c:v>103.89365089107352</c:v>
                </c:pt>
                <c:pt idx="185">
                  <c:v>105.01132089396792</c:v>
                </c:pt>
                <c:pt idx="186">
                  <c:v>106.13451213523769</c:v>
                </c:pt>
                <c:pt idx="187">
                  <c:v>107.26321476597873</c:v>
                </c:pt>
                <c:pt idx="188">
                  <c:v>108.39741892142416</c:v>
                </c:pt>
                <c:pt idx="189">
                  <c:v>109.53711472101122</c:v>
                </c:pt>
                <c:pt idx="190">
                  <c:v>110.68229226844845</c:v>
                </c:pt>
                <c:pt idx="191">
                  <c:v>111.83294165178324</c:v>
                </c:pt>
                <c:pt idx="192">
                  <c:v>112.9890529434697</c:v>
                </c:pt>
                <c:pt idx="193">
                  <c:v>114.15061620043674</c:v>
                </c:pt>
                <c:pt idx="194">
                  <c:v>115.31762146415659</c:v>
                </c:pt>
                <c:pt idx="195">
                  <c:v>116.49005876071348</c:v>
                </c:pt>
                <c:pt idx="196">
                  <c:v>117.66791810087275</c:v>
                </c:pt>
                <c:pt idx="197">
                  <c:v>118.85118948015013</c:v>
                </c:pt>
                <c:pt idx="198">
                  <c:v>120.03986287888128</c:v>
                </c:pt>
                <c:pt idx="199">
                  <c:v>121.2339282622918</c:v>
                </c:pt>
                <c:pt idx="200">
                  <c:v>122.43337558056723</c:v>
                </c:pt>
                <c:pt idx="201">
                  <c:v>123.63819476892355</c:v>
                </c:pt>
                <c:pt idx="202">
                  <c:v>124.84837574767781</c:v>
                </c:pt>
                <c:pt idx="203">
                  <c:v>126.06390842231899</c:v>
                </c:pt>
                <c:pt idx="204">
                  <c:v>127.28478268357927</c:v>
                </c:pt>
                <c:pt idx="205">
                  <c:v>128.51098840750535</c:v>
                </c:pt>
                <c:pt idx="206">
                  <c:v>129.74251512626549</c:v>
                </c:pt>
                <c:pt idx="207">
                  <c:v>130.97935169872864</c:v>
                </c:pt>
                <c:pt idx="208">
                  <c:v>132.22148663954596</c:v>
                </c:pt>
                <c:pt idx="209">
                  <c:v>133.46890844846675</c:v>
                </c:pt>
                <c:pt idx="210">
                  <c:v>134.7216056104229</c:v>
                </c:pt>
                <c:pt idx="211">
                  <c:v>135.97956659561365</c:v>
                </c:pt>
                <c:pt idx="212">
                  <c:v>137.24277985959051</c:v>
                </c:pt>
                <c:pt idx="213">
                  <c:v>138.51123384334235</c:v>
                </c:pt>
                <c:pt idx="214">
                  <c:v>139.78491697338069</c:v>
                </c:pt>
                <c:pt idx="215">
                  <c:v>141.0638176618252</c:v>
                </c:pt>
                <c:pt idx="216">
                  <c:v>142.34792430648938</c:v>
                </c:pt>
                <c:pt idx="217">
                  <c:v>143.63722529096634</c:v>
                </c:pt>
                <c:pt idx="218">
                  <c:v>144.93170898471493</c:v>
                </c:pt>
                <c:pt idx="219">
                  <c:v>146.23136374314575</c:v>
                </c:pt>
                <c:pt idx="220">
                  <c:v>147.53617790770755</c:v>
                </c:pt>
                <c:pt idx="221">
                  <c:v>148.84613980597379</c:v>
                </c:pt>
                <c:pt idx="222">
                  <c:v>150.16123775172917</c:v>
                </c:pt>
                <c:pt idx="223">
                  <c:v>151.48146004505645</c:v>
                </c:pt>
                <c:pt idx="224">
                  <c:v>152.80679497242335</c:v>
                </c:pt>
                <c:pt idx="225">
                  <c:v>154.13723080676965</c:v>
                </c:pt>
                <c:pt idx="226">
                  <c:v>155.47275580759438</c:v>
                </c:pt>
                <c:pt idx="227">
                  <c:v>156.81335822104313</c:v>
                </c:pt>
                <c:pt idx="228">
                  <c:v>158.15902627999543</c:v>
                </c:pt>
                <c:pt idx="229">
                  <c:v>159.5097482041524</c:v>
                </c:pt>
                <c:pt idx="230">
                  <c:v>160.86551220012439</c:v>
                </c:pt>
                <c:pt idx="231">
                  <c:v>162.22630646151876</c:v>
                </c:pt>
                <c:pt idx="232">
                  <c:v>163.5921191690278</c:v>
                </c:pt>
                <c:pt idx="233">
                  <c:v>164.96293849051671</c:v>
                </c:pt>
                <c:pt idx="234">
                  <c:v>166.33875258111166</c:v>
                </c:pt>
                <c:pt idx="235">
                  <c:v>167.71954958328806</c:v>
                </c:pt>
                <c:pt idx="236">
                  <c:v>169.10531762695871</c:v>
                </c:pt>
                <c:pt idx="237">
                  <c:v>170.49604482956232</c:v>
                </c:pt>
                <c:pt idx="238">
                  <c:v>171.89171929615185</c:v>
                </c:pt>
                <c:pt idx="239">
                  <c:v>173.29232911948304</c:v>
                </c:pt>
                <c:pt idx="240">
                  <c:v>174.69786238010306</c:v>
                </c:pt>
                <c:pt idx="241">
                  <c:v>176.1083071464391</c:v>
                </c:pt>
                <c:pt idx="242">
                  <c:v>177.52365033978674</c:v>
                </c:pt>
                <c:pt idx="243">
                  <c:v>178.94387659867462</c:v>
                </c:pt>
                <c:pt idx="244">
                  <c:v>180.36896941347234</c:v>
                </c:pt>
                <c:pt idx="245">
                  <c:v>181.79891226164392</c:v>
                </c:pt>
                <c:pt idx="246">
                  <c:v>183.23368860788108</c:v>
                </c:pt>
                <c:pt idx="247">
                  <c:v>184.6732819042364</c:v>
                </c:pt>
                <c:pt idx="248">
                  <c:v>186.11767559025643</c:v>
                </c:pt>
                <c:pt idx="249">
                  <c:v>187.56685309311473</c:v>
                </c:pt>
                <c:pt idx="250">
                  <c:v>189.0207978277449</c:v>
                </c:pt>
                <c:pt idx="251">
                  <c:v>190.47949319697344</c:v>
                </c:pt>
                <c:pt idx="252">
                  <c:v>191.94292259165258</c:v>
                </c:pt>
                <c:pt idx="253">
                  <c:v>193.41106939079299</c:v>
                </c:pt>
                <c:pt idx="254">
                  <c:v>194.88391696169643</c:v>
                </c:pt>
                <c:pt idx="255">
                  <c:v>196.36144866008826</c:v>
                </c:pt>
                <c:pt idx="256">
                  <c:v>197.84364783024986</c:v>
                </c:pt>
                <c:pt idx="257">
                  <c:v>199.330497805151</c:v>
                </c:pt>
                <c:pt idx="258">
                  <c:v>200.82198190658195</c:v>
                </c:pt>
                <c:pt idx="259">
                  <c:v>202.31808344528565</c:v>
                </c:pt>
                <c:pt idx="260">
                  <c:v>203.8187857210896</c:v>
                </c:pt>
                <c:pt idx="261">
                  <c:v>205.3240720230377</c:v>
                </c:pt>
                <c:pt idx="262">
                  <c:v>206.83392562952199</c:v>
                </c:pt>
                <c:pt idx="263">
                  <c:v>208.34832980841406</c:v>
                </c:pt>
                <c:pt idx="264">
                  <c:v>209.86726781719665</c:v>
                </c:pt>
                <c:pt idx="265">
                  <c:v>211.39072290309468</c:v>
                </c:pt>
                <c:pt idx="266">
                  <c:v>212.91867830320658</c:v>
                </c:pt>
                <c:pt idx="267">
                  <c:v>214.45111724463501</c:v>
                </c:pt>
                <c:pt idx="268">
                  <c:v>215.9880229446178</c:v>
                </c:pt>
                <c:pt idx="269">
                  <c:v>217.52937861065845</c:v>
                </c:pt>
                <c:pt idx="270">
                  <c:v>219.07516744065666</c:v>
                </c:pt>
                <c:pt idx="271">
                  <c:v>220.62537262303846</c:v>
                </c:pt>
                <c:pt idx="272">
                  <c:v>222.1799773368864</c:v>
                </c:pt>
                <c:pt idx="273">
                  <c:v>223.73896475206939</c:v>
                </c:pt>
                <c:pt idx="274">
                  <c:v>225.30231802937243</c:v>
                </c:pt>
                <c:pt idx="275">
                  <c:v>226.87002032062603</c:v>
                </c:pt>
                <c:pt idx="276">
                  <c:v>228.44205476883556</c:v>
                </c:pt>
                <c:pt idx="277">
                  <c:v>230.0184045083104</c:v>
                </c:pt>
                <c:pt idx="278">
                  <c:v>231.59905266479277</c:v>
                </c:pt>
                <c:pt idx="279">
                  <c:v>233.18398235558641</c:v>
                </c:pt>
                <c:pt idx="280">
                  <c:v>234.77317668968504</c:v>
                </c:pt>
                <c:pt idx="281">
                  <c:v>236.36661876790069</c:v>
                </c:pt>
                <c:pt idx="282">
                  <c:v>237.96429168299159</c:v>
                </c:pt>
                <c:pt idx="283">
                  <c:v>239.56617851979001</c:v>
                </c:pt>
                <c:pt idx="284">
                  <c:v>241.17226368396624</c:v>
                </c:pt>
                <c:pt idx="285">
                  <c:v>242.78253423125224</c:v>
                </c:pt>
                <c:pt idx="286">
                  <c:v>244.39697853914555</c:v>
                </c:pt>
                <c:pt idx="287">
                  <c:v>246.01558497812849</c:v>
                </c:pt>
                <c:pt idx="288">
                  <c:v>247.63834191174709</c:v>
                </c:pt>
                <c:pt idx="289">
                  <c:v>249.26523769668998</c:v>
                </c:pt>
                <c:pt idx="290">
                  <c:v>250.89626068286705</c:v>
                </c:pt>
                <c:pt idx="291">
                  <c:v>252.53139921348813</c:v>
                </c:pt>
                <c:pt idx="292">
                  <c:v>254.17064162514157</c:v>
                </c:pt>
                <c:pt idx="293">
                  <c:v>255.81397624787272</c:v>
                </c:pt>
                <c:pt idx="294">
                  <c:v>257.46139140526225</c:v>
                </c:pt>
                <c:pt idx="295">
                  <c:v>259.11287541450451</c:v>
                </c:pt>
                <c:pt idx="296">
                  <c:v>260.76841658648567</c:v>
                </c:pt>
                <c:pt idx="297">
                  <c:v>262.4280032258618</c:v>
                </c:pt>
                <c:pt idx="298">
                  <c:v>264.09162363113694</c:v>
                </c:pt>
                <c:pt idx="299">
                  <c:v>265.75926609474089</c:v>
                </c:pt>
                <c:pt idx="300">
                  <c:v>267.430918903107</c:v>
                </c:pt>
                <c:pt idx="301">
                  <c:v>269.10657033674994</c:v>
                </c:pt>
                <c:pt idx="302">
                  <c:v>270.78620867034311</c:v>
                </c:pt>
                <c:pt idx="303">
                  <c:v>272.46982217279623</c:v>
                </c:pt>
                <c:pt idx="304">
                  <c:v>274.15739910733254</c:v>
                </c:pt>
                <c:pt idx="305">
                  <c:v>275.84892773156616</c:v>
                </c:pt>
                <c:pt idx="306">
                  <c:v>277.54439629757923</c:v>
                </c:pt>
                <c:pt idx="307">
                  <c:v>279.24379305199864</c:v>
                </c:pt>
                <c:pt idx="308">
                  <c:v>280.94710623607318</c:v>
                </c:pt>
                <c:pt idx="309">
                  <c:v>282.65432408575009</c:v>
                </c:pt>
                <c:pt idx="310">
                  <c:v>284.36543483175183</c:v>
                </c:pt>
                <c:pt idx="311">
                  <c:v>286.08042669965243</c:v>
                </c:pt>
                <c:pt idx="312">
                  <c:v>287.79928790995405</c:v>
                </c:pt>
                <c:pt idx="313">
                  <c:v>289.522006678163</c:v>
                </c:pt>
                <c:pt idx="314">
                  <c:v>291.24857121486593</c:v>
                </c:pt>
                <c:pt idx="315">
                  <c:v>292.97896972580583</c:v>
                </c:pt>
                <c:pt idx="316">
                  <c:v>294.7131904119579</c:v>
                </c:pt>
                <c:pt idx="317">
                  <c:v>296.45122146960512</c:v>
                </c:pt>
                <c:pt idx="318">
                  <c:v>298.19305109041386</c:v>
                </c:pt>
                <c:pt idx="319">
                  <c:v>299.93866746150945</c:v>
                </c:pt>
                <c:pt idx="320">
                  <c:v>301.6880587655512</c:v>
                </c:pt>
                <c:pt idx="321">
                  <c:v>303.44121318080778</c:v>
                </c:pt>
                <c:pt idx="322">
                  <c:v>305.19811888123195</c:v>
                </c:pt>
                <c:pt idx="323">
                  <c:v>306.95876403653568</c:v>
                </c:pt>
                <c:pt idx="324">
                  <c:v>308.72313681226461</c:v>
                </c:pt>
                <c:pt idx="325">
                  <c:v>310.49122536987278</c:v>
                </c:pt>
                <c:pt idx="326">
                  <c:v>312.26301794817738</c:v>
                </c:pt>
                <c:pt idx="327">
                  <c:v>314.03850294482965</c:v>
                </c:pt>
                <c:pt idx="328">
                  <c:v>315.81766883499949</c:v>
                </c:pt>
                <c:pt idx="329">
                  <c:v>317.60050409004316</c:v>
                </c:pt>
                <c:pt idx="330">
                  <c:v>319.38699717757447</c:v>
                </c:pt>
                <c:pt idx="331">
                  <c:v>321.17713656153592</c:v>
                </c:pt>
                <c:pt idx="332">
                  <c:v>322.97091070226986</c:v>
                </c:pt>
                <c:pt idx="333">
                  <c:v>324.76830805658915</c:v>
                </c:pt>
                <c:pt idx="334">
                  <c:v>326.56931707784804</c:v>
                </c:pt>
                <c:pt idx="335">
                  <c:v>328.37392621601259</c:v>
                </c:pt>
                <c:pt idx="336">
                  <c:v>330.18212391773108</c:v>
                </c:pt>
                <c:pt idx="337">
                  <c:v>331.99389862640425</c:v>
                </c:pt>
                <c:pt idx="338">
                  <c:v>333.80923878225536</c:v>
                </c:pt>
                <c:pt idx="339">
                  <c:v>335.62813282240023</c:v>
                </c:pt>
                <c:pt idx="340">
                  <c:v>337.45056918091677</c:v>
                </c:pt>
                <c:pt idx="341">
                  <c:v>339.27653628891471</c:v>
                </c:pt>
                <c:pt idx="342">
                  <c:v>341.10602257460494</c:v>
                </c:pt>
                <c:pt idx="343">
                  <c:v>342.93901646336877</c:v>
                </c:pt>
                <c:pt idx="344">
                  <c:v>344.77550637782707</c:v>
                </c:pt>
                <c:pt idx="345">
                  <c:v>346.61548073790919</c:v>
                </c:pt>
                <c:pt idx="346">
                  <c:v>348.45892796092164</c:v>
                </c:pt>
                <c:pt idx="347">
                  <c:v>350.30583646161665</c:v>
                </c:pt>
                <c:pt idx="348">
                  <c:v>352.15619465226058</c:v>
                </c:pt>
                <c:pt idx="349">
                  <c:v>354.0099909427023</c:v>
                </c:pt>
                <c:pt idx="350">
                  <c:v>355.867213740441</c:v>
                </c:pt>
                <c:pt idx="351">
                  <c:v>357.72785145069423</c:v>
                </c:pt>
                <c:pt idx="352">
                  <c:v>359.59189247646555</c:v>
                </c:pt>
                <c:pt idx="353">
                  <c:v>361.45932521861204</c:v>
                </c:pt>
                <c:pt idx="354">
                  <c:v>363.33013807591158</c:v>
                </c:pt>
                <c:pt idx="355">
                  <c:v>365.20431944513012</c:v>
                </c:pt>
                <c:pt idx="356">
                  <c:v>367.08185772108862</c:v>
                </c:pt>
                <c:pt idx="357">
                  <c:v>368.96274129672975</c:v>
                </c:pt>
                <c:pt idx="358">
                  <c:v>370.84695856318461</c:v>
                </c:pt>
                <c:pt idx="359">
                  <c:v>372.73449790983915</c:v>
                </c:pt>
                <c:pt idx="360">
                  <c:v>374.62534772440029</c:v>
                </c:pt>
                <c:pt idx="361">
                  <c:v>376.51949639296203</c:v>
                </c:pt>
                <c:pt idx="362">
                  <c:v>378.41693230007138</c:v>
                </c:pt>
                <c:pt idx="363">
                  <c:v>380.31764382879396</c:v>
                </c:pt>
                <c:pt idx="364">
                  <c:v>382.22161936077941</c:v>
                </c:pt>
                <c:pt idx="365">
                  <c:v>384.12884727632678</c:v>
                </c:pt>
                <c:pt idx="366">
                  <c:v>386.03931801186673</c:v>
                </c:pt>
                <c:pt idx="367">
                  <c:v>387.95302611756597</c:v>
                </c:pt>
                <c:pt idx="368">
                  <c:v>389.86996819926765</c:v>
                </c:pt>
                <c:pt idx="369">
                  <c:v>391.79014086028548</c:v>
                </c:pt>
                <c:pt idx="370">
                  <c:v>393.71354070142161</c:v>
                </c:pt>
                <c:pt idx="371">
                  <c:v>395.64016432098452</c:v>
                </c:pt>
                <c:pt idx="372">
                  <c:v>397.57000831480684</c:v>
                </c:pt>
                <c:pt idx="373">
                  <c:v>399.5030692762632</c:v>
                </c:pt>
                <c:pt idx="374">
                  <c:v>401.43934379628814</c:v>
                </c:pt>
                <c:pt idx="375">
                  <c:v>403.3788284633938</c:v>
                </c:pt>
                <c:pt idx="376">
                  <c:v>405.32151986368785</c:v>
                </c:pt>
                <c:pt idx="377">
                  <c:v>407.26741458089123</c:v>
                </c:pt>
                <c:pt idx="378">
                  <c:v>409.21650919635601</c:v>
                </c:pt>
                <c:pt idx="379">
                  <c:v>411.16880028908321</c:v>
                </c:pt>
                <c:pt idx="380">
                  <c:v>413.12428443574049</c:v>
                </c:pt>
                <c:pt idx="381">
                  <c:v>415.0829559923427</c:v>
                </c:pt>
                <c:pt idx="382">
                  <c:v>417.04480487585607</c:v>
                </c:pt>
                <c:pt idx="383">
                  <c:v>419.00981878342748</c:v>
                </c:pt>
                <c:pt idx="384">
                  <c:v>420.97798541171511</c:v>
                </c:pt>
                <c:pt idx="385">
                  <c:v>422.94929245695658</c:v>
                </c:pt>
                <c:pt idx="386">
                  <c:v>424.92372761503646</c:v>
                </c:pt>
                <c:pt idx="387">
                  <c:v>426.90127858155398</c:v>
                </c:pt>
                <c:pt idx="388">
                  <c:v>428.88193305189014</c:v>
                </c:pt>
                <c:pt idx="389">
                  <c:v>430.86567872127489</c:v>
                </c:pt>
                <c:pt idx="390">
                  <c:v>432.85250328485381</c:v>
                </c:pt>
                <c:pt idx="391">
                  <c:v>434.84239443775476</c:v>
                </c:pt>
                <c:pt idx="392">
                  <c:v>436.8353398751542</c:v>
                </c:pt>
                <c:pt idx="393">
                  <c:v>438.8313272923433</c:v>
                </c:pt>
                <c:pt idx="394">
                  <c:v>440.83034438479376</c:v>
                </c:pt>
                <c:pt idx="395">
                  <c:v>442.83237884822353</c:v>
                </c:pt>
                <c:pt idx="396">
                  <c:v>444.83741837866211</c:v>
                </c:pt>
                <c:pt idx="397">
                  <c:v>446.84545067251565</c:v>
                </c:pt>
                <c:pt idx="398">
                  <c:v>448.85646342663205</c:v>
                </c:pt>
                <c:pt idx="399">
                  <c:v>450.87044433836542</c:v>
                </c:pt>
                <c:pt idx="400">
                  <c:v>452.8873811056406</c:v>
                </c:pt>
                <c:pt idx="401">
                  <c:v>454.90725968822932</c:v>
                </c:pt>
                <c:pt idx="402">
                  <c:v>456.93006256909257</c:v>
                </c:pt>
                <c:pt idx="403">
                  <c:v>458.95577049414044</c:v>
                </c:pt>
                <c:pt idx="404">
                  <c:v>460.98436421195134</c:v>
                </c:pt>
                <c:pt idx="405">
                  <c:v>463.01582447388915</c:v>
                </c:pt>
                <c:pt idx="406">
                  <c:v>465.05013203421964</c:v>
                </c:pt>
                <c:pt idx="407">
                  <c:v>467.08726765022607</c:v>
                </c:pt>
                <c:pt idx="408">
                  <c:v>469.12721208232455</c:v>
                </c:pt>
                <c:pt idx="409">
                  <c:v>471.16994609417878</c:v>
                </c:pt>
                <c:pt idx="410">
                  <c:v>473.21545045281391</c:v>
                </c:pt>
                <c:pt idx="411">
                  <c:v>475.26369633858195</c:v>
                </c:pt>
                <c:pt idx="412">
                  <c:v>477.31463575605761</c:v>
                </c:pt>
                <c:pt idx="413">
                  <c:v>479.36821113031192</c:v>
                </c:pt>
                <c:pt idx="414">
                  <c:v>481.42436490253147</c:v>
                </c:pt>
                <c:pt idx="415">
                  <c:v>483.48303953068074</c:v>
                </c:pt>
                <c:pt idx="416">
                  <c:v>485.54417749015965</c:v>
                </c:pt>
                <c:pt idx="417">
                  <c:v>487.60772127445665</c:v>
                </c:pt>
                <c:pt idx="418">
                  <c:v>489.67361339579639</c:v>
                </c:pt>
                <c:pt idx="419">
                  <c:v>491.74179638578323</c:v>
                </c:pt>
                <c:pt idx="420">
                  <c:v>493.8122073494377</c:v>
                </c:pt>
                <c:pt idx="421">
                  <c:v>495.88477252045203</c:v>
                </c:pt>
                <c:pt idx="422">
                  <c:v>497.95941271297528</c:v>
                </c:pt>
                <c:pt idx="423">
                  <c:v>500.03604877241941</c:v>
                </c:pt>
                <c:pt idx="424">
                  <c:v>502.11460157657513</c:v>
                </c:pt>
                <c:pt idx="425">
                  <c:v>504.19499203671876</c:v>
                </c:pt>
                <c:pt idx="426">
                  <c:v>506.27714109870954</c:v>
                </c:pt>
                <c:pt idx="427">
                  <c:v>508.36096974407781</c:v>
                </c:pt>
                <c:pt idx="428">
                  <c:v>510.4463989911041</c:v>
                </c:pt>
                <c:pt idx="429">
                  <c:v>512.53334989588848</c:v>
                </c:pt>
                <c:pt idx="430">
                  <c:v>514.62174355341108</c:v>
                </c:pt>
                <c:pt idx="431">
                  <c:v>516.71150109858274</c:v>
                </c:pt>
                <c:pt idx="432">
                  <c:v>518.80253494759711</c:v>
                </c:pt>
                <c:pt idx="433">
                  <c:v>520.89474004312854</c:v>
                </c:pt>
                <c:pt idx="434">
                  <c:v>522.98800262533712</c:v>
                </c:pt>
                <c:pt idx="435">
                  <c:v>525.08220899953869</c:v>
                </c:pt>
                <c:pt idx="436">
                  <c:v>527.17724553826235</c:v>
                </c:pt>
                <c:pt idx="437">
                  <c:v>529.27299868328885</c:v>
                </c:pt>
                <c:pt idx="438">
                  <c:v>531.3693549476684</c:v>
                </c:pt>
                <c:pt idx="439">
                  <c:v>533.46620091771956</c:v>
                </c:pt>
                <c:pt idx="440">
                  <c:v>535.56342325500782</c:v>
                </c:pt>
                <c:pt idx="441">
                  <c:v>537.66090869830407</c:v>
                </c:pt>
                <c:pt idx="442">
                  <c:v>539.75854937853421</c:v>
                </c:pt>
                <c:pt idx="443">
                  <c:v>541.85624813009497</c:v>
                </c:pt>
                <c:pt idx="444">
                  <c:v>543.95391317157726</c:v>
                </c:pt>
                <c:pt idx="445">
                  <c:v>546.05145278975772</c:v>
                </c:pt>
                <c:pt idx="446">
                  <c:v>548.14877534081086</c:v>
                </c:pt>
                <c:pt idx="447">
                  <c:v>550.24578925150854</c:v>
                </c:pt>
                <c:pt idx="448">
                  <c:v>552.34240302040587</c:v>
                </c:pt>
                <c:pt idx="449">
                  <c:v>554.43852521901385</c:v>
                </c:pt>
                <c:pt idx="450">
                  <c:v>556.53406449295949</c:v>
                </c:pt>
                <c:pt idx="451">
                  <c:v>558.62892956313169</c:v>
                </c:pt>
                <c:pt idx="452">
                  <c:v>560.7230292268149</c:v>
                </c:pt>
                <c:pt idx="453">
                  <c:v>562.81627995837891</c:v>
                </c:pt>
                <c:pt idx="454">
                  <c:v>564.90861350330624</c:v>
                </c:pt>
                <c:pt idx="455">
                  <c:v>566.99996926593099</c:v>
                </c:pt>
                <c:pt idx="456">
                  <c:v>569.09028670349437</c:v>
                </c:pt>
                <c:pt idx="457">
                  <c:v>571.17950532657562</c:v>
                </c:pt>
                <c:pt idx="458">
                  <c:v>573.26756469951738</c:v>
                </c:pt>
                <c:pt idx="459">
                  <c:v>575.35440444084577</c:v>
                </c:pt>
                <c:pt idx="460">
                  <c:v>577.43996422368423</c:v>
                </c:pt>
                <c:pt idx="461">
                  <c:v>579.52419061104365</c:v>
                </c:pt>
                <c:pt idx="462">
                  <c:v>581.60704388455167</c:v>
                </c:pt>
                <c:pt idx="463">
                  <c:v>583.68849119682238</c:v>
                </c:pt>
                <c:pt idx="464">
                  <c:v>585.76849973021842</c:v>
                </c:pt>
                <c:pt idx="465">
                  <c:v>587.84703669692669</c:v>
                </c:pt>
                <c:pt idx="466">
                  <c:v>589.9240635989438</c:v>
                </c:pt>
                <c:pt idx="467">
                  <c:v>591.99953049374324</c:v>
                </c:pt>
                <c:pt idx="468">
                  <c:v>594.07331782923995</c:v>
                </c:pt>
                <c:pt idx="469">
                  <c:v>596.14525655520231</c:v>
                </c:pt>
                <c:pt idx="470">
                  <c:v>598.21527030284733</c:v>
                </c:pt>
                <c:pt idx="471">
                  <c:v>600.28336099070248</c:v>
                </c:pt>
                <c:pt idx="472">
                  <c:v>602.34953053304366</c:v>
                </c:pt>
                <c:pt idx="473">
                  <c:v>604.41378083990742</c:v>
                </c:pt>
                <c:pt idx="474">
                  <c:v>606.47611381710271</c:v>
                </c:pt>
                <c:pt idx="475">
                  <c:v>608.53653136622324</c:v>
                </c:pt>
                <c:pt idx="476">
                  <c:v>610.59503538465958</c:v>
                </c:pt>
                <c:pt idx="477">
                  <c:v>612.6516277656109</c:v>
                </c:pt>
                <c:pt idx="478">
                  <c:v>614.70631039809712</c:v>
                </c:pt>
                <c:pt idx="479">
                  <c:v>616.75908516697064</c:v>
                </c:pt>
                <c:pt idx="480">
                  <c:v>618.80995395292825</c:v>
                </c:pt>
                <c:pt idx="481">
                  <c:v>620.858918632523</c:v>
                </c:pt>
                <c:pt idx="482">
                  <c:v>622.90598107817584</c:v>
                </c:pt>
                <c:pt idx="483">
                  <c:v>624.95114315818751</c:v>
                </c:pt>
                <c:pt idx="484">
                  <c:v>626.99440673675008</c:v>
                </c:pt>
                <c:pt idx="485">
                  <c:v>629.03577367395849</c:v>
                </c:pt>
                <c:pt idx="486">
                  <c:v>631.07524582582255</c:v>
                </c:pt>
                <c:pt idx="487">
                  <c:v>633.112825044278</c:v>
                </c:pt>
                <c:pt idx="488">
                  <c:v>635.14851317719831</c:v>
                </c:pt>
                <c:pt idx="489">
                  <c:v>637.18231206840608</c:v>
                </c:pt>
                <c:pt idx="490">
                  <c:v>639.21422355768459</c:v>
                </c:pt>
                <c:pt idx="491">
                  <c:v>641.24424948078899</c:v>
                </c:pt>
                <c:pt idx="492">
                  <c:v>643.27239166945765</c:v>
                </c:pt>
                <c:pt idx="493">
                  <c:v>645.29865195142361</c:v>
                </c:pt>
                <c:pt idx="494">
                  <c:v>647.32303215042589</c:v>
                </c:pt>
                <c:pt idx="495">
                  <c:v>649.34553408622037</c:v>
                </c:pt>
                <c:pt idx="496">
                  <c:v>651.36615957459139</c:v>
                </c:pt>
                <c:pt idx="497">
                  <c:v>653.38491042736268</c:v>
                </c:pt>
                <c:pt idx="498">
                  <c:v>655.40178845240848</c:v>
                </c:pt>
                <c:pt idx="499">
                  <c:v>657.41679545366469</c:v>
                </c:pt>
                <c:pt idx="500">
                  <c:v>659.42993323113956</c:v>
                </c:pt>
                <c:pt idx="501">
                  <c:v>679.45864285105449</c:v>
                </c:pt>
                <c:pt idx="502">
                  <c:v>699.30158929699337</c:v>
                </c:pt>
                <c:pt idx="503">
                  <c:v>718.9605331966626</c:v>
                </c:pt>
                <c:pt idx="504">
                  <c:v>738.43719740646941</c:v>
                </c:pt>
                <c:pt idx="505">
                  <c:v>757.7332680446591</c:v>
                </c:pt>
                <c:pt idx="506">
                  <c:v>776.85039548846339</c:v>
                </c:pt>
                <c:pt idx="507">
                  <c:v>795.79019533675955</c:v>
                </c:pt>
                <c:pt idx="508">
                  <c:v>814.5542493396656</c:v>
                </c:pt>
                <c:pt idx="509">
                  <c:v>833.14410629642953</c:v>
                </c:pt>
                <c:pt idx="510">
                  <c:v>851.56128292290373</c:v>
                </c:pt>
                <c:pt idx="511">
                  <c:v>869.80726468983664</c:v>
                </c:pt>
                <c:pt idx="512">
                  <c:v>887.88350663315282</c:v>
                </c:pt>
                <c:pt idx="513">
                  <c:v>905.79143413734016</c:v>
                </c:pt>
                <c:pt idx="514">
                  <c:v>923.5324436930099</c:v>
                </c:pt>
                <c:pt idx="515">
                  <c:v>941.10790362964497</c:v>
                </c:pt>
                <c:pt idx="516">
                  <c:v>958.51915482450727</c:v>
                </c:pt>
                <c:pt idx="517">
                  <c:v>975.76751138862846</c:v>
                </c:pt>
                <c:pt idx="518">
                  <c:v>992.8542613307684</c:v>
                </c:pt>
                <c:pt idx="519">
                  <c:v>1009.7806672001849</c:v>
                </c:pt>
                <c:pt idx="520">
                  <c:v>1026.5479667090199</c:v>
                </c:pt>
                <c:pt idx="521">
                  <c:v>1043.1573733350735</c:v>
                </c:pt>
                <c:pt idx="522">
                  <c:v>1059.6100769057011</c:v>
                </c:pt>
                <c:pt idx="523">
                  <c:v>1075.9072441635383</c:v>
                </c:pt>
                <c:pt idx="524">
                  <c:v>1092.0500193147252</c:v>
                </c:pt>
                <c:pt idx="525">
                  <c:v>1108.039524560277</c:v>
                </c:pt>
                <c:pt idx="526">
                  <c:v>1123.8768606112135</c:v>
                </c:pt>
                <c:pt idx="527">
                  <c:v>1139.5631071880414</c:v>
                </c:pt>
                <c:pt idx="528">
                  <c:v>1155.0993235051512</c:v>
                </c:pt>
                <c:pt idx="529">
                  <c:v>1170.4865487406726</c:v>
                </c:pt>
                <c:pt idx="530">
                  <c:v>1185.7258024923026</c:v>
                </c:pt>
                <c:pt idx="531">
                  <c:v>1200.8180852196092</c:v>
                </c:pt>
                <c:pt idx="532">
                  <c:v>1215.7643786732806</c:v>
                </c:pt>
                <c:pt idx="533">
                  <c:v>1230.5656463117814</c:v>
                </c:pt>
                <c:pt idx="534">
                  <c:v>1245.2228337058505</c:v>
                </c:pt>
                <c:pt idx="535">
                  <c:v>1259.7368689312618</c:v>
                </c:pt>
                <c:pt idx="536">
                  <c:v>1274.1086629502522</c:v>
                </c:pt>
                <c:pt idx="537">
                  <c:v>1288.3391099820017</c:v>
                </c:pt>
                <c:pt idx="538">
                  <c:v>1302.4290878625372</c:v>
                </c:pt>
                <c:pt idx="539">
                  <c:v>1316.3794583944191</c:v>
                </c:pt>
                <c:pt idx="540">
                  <c:v>1330.19106768655</c:v>
                </c:pt>
                <c:pt idx="541">
                  <c:v>1343.8647464844371</c:v>
                </c:pt>
                <c:pt idx="542">
                  <c:v>1357.4013104912228</c:v>
                </c:pt>
                <c:pt idx="543">
                  <c:v>1370.8015606797901</c:v>
                </c:pt>
                <c:pt idx="544">
                  <c:v>1384.0662835962312</c:v>
                </c:pt>
                <c:pt idx="545">
                  <c:v>1397.1962516549647</c:v>
                </c:pt>
                <c:pt idx="546">
                  <c:v>1410.192223425769</c:v>
                </c:pt>
                <c:pt idx="547">
                  <c:v>1423.0549439129927</c:v>
                </c:pt>
                <c:pt idx="548">
                  <c:v>1435.7851448271922</c:v>
                </c:pt>
                <c:pt idx="549">
                  <c:v>1448.3835448494387</c:v>
                </c:pt>
                <c:pt idx="550">
                  <c:v>1460.8508498885255</c:v>
                </c:pt>
                <c:pt idx="551">
                  <c:v>1473.1877533312982</c:v>
                </c:pt>
                <c:pt idx="552">
                  <c:v>1485.3949362863254</c:v>
                </c:pt>
                <c:pt idx="553">
                  <c:v>1497.4730678211158</c:v>
                </c:pt>
                <c:pt idx="554">
                  <c:v>1509.42280519308</c:v>
                </c:pt>
                <c:pt idx="555">
                  <c:v>1521.2447940744337</c:v>
                </c:pt>
                <c:pt idx="556">
                  <c:v>1532.9396687712235</c:v>
                </c:pt>
                <c:pt idx="557">
                  <c:v>1544.5080524366583</c:v>
                </c:pt>
                <c:pt idx="558">
                  <c:v>1555.9505572789146</c:v>
                </c:pt>
                <c:pt idx="559">
                  <c:v>1567.2677847635878</c:v>
                </c:pt>
                <c:pt idx="560">
                  <c:v>1578.4603258109453</c:v>
                </c:pt>
                <c:pt idx="561">
                  <c:v>1589.5287609881395</c:v>
                </c:pt>
                <c:pt idx="562">
                  <c:v>1600.4736606965303</c:v>
                </c:pt>
                <c:pt idx="563">
                  <c:v>1611.2955853542603</c:v>
                </c:pt>
                <c:pt idx="564">
                  <c:v>1621.9950855742245</c:v>
                </c:pt>
                <c:pt idx="565">
                  <c:v>1632.572702337568</c:v>
                </c:pt>
                <c:pt idx="566">
                  <c:v>1643.0289671628439</c:v>
                </c:pt>
                <c:pt idx="567">
                  <c:v>1653.364402270955</c:v>
                </c:pt>
                <c:pt idx="568">
                  <c:v>1663.5795207460053</c:v>
                </c:pt>
                <c:pt idx="569">
                  <c:v>1673.6748266921752</c:v>
                </c:pt>
                <c:pt idx="570">
                  <c:v>1683.6508153867373</c:v>
                </c:pt>
                <c:pt idx="571">
                  <c:v>1693.5079734293229</c:v>
                </c:pt>
                <c:pt idx="572">
                  <c:v>1703.2467788875456</c:v>
                </c:pt>
                <c:pt idx="573">
                  <c:v>1712.8677014390867</c:v>
                </c:pt>
                <c:pt idx="574">
                  <c:v>1722.3712025103412</c:v>
                </c:pt>
                <c:pt idx="575">
                  <c:v>1731.7577354117245</c:v>
                </c:pt>
                <c:pt idx="576">
                  <c:v>1741.0277454697316</c:v>
                </c:pt>
                <c:pt idx="577">
                  <c:v>1750.1816701558414</c:v>
                </c:pt>
                <c:pt idx="578">
                  <c:v>1759.2199392123559</c:v>
                </c:pt>
                <c:pt idx="579">
                  <c:v>1768.1429747752591</c:v>
                </c:pt>
                <c:pt idx="580">
                  <c:v>1776.9511914941804</c:v>
                </c:pt>
                <c:pt idx="581">
                  <c:v>1785.6449966495445</c:v>
                </c:pt>
                <c:pt idx="582">
                  <c:v>1794.2247902669851</c:v>
                </c:pt>
                <c:pt idx="583">
                  <c:v>1802.6909652291019</c:v>
                </c:pt>
                <c:pt idx="584">
                  <c:v>1811.0439073846348</c:v>
                </c:pt>
                <c:pt idx="585">
                  <c:v>1819.2839956551279</c:v>
                </c:pt>
                <c:pt idx="586">
                  <c:v>1827.4116021391567</c:v>
                </c:pt>
                <c:pt idx="587">
                  <c:v>1835.4270922141861</c:v>
                </c:pt>
                <c:pt idx="588">
                  <c:v>1843.3308246361282</c:v>
                </c:pt>
                <c:pt idx="589">
                  <c:v>1851.1231516366663</c:v>
                </c:pt>
                <c:pt idx="590">
                  <c:v>1858.8044190184105</c:v>
                </c:pt>
                <c:pt idx="591">
                  <c:v>1866.3749662479484</c:v>
                </c:pt>
                <c:pt idx="592">
                  <c:v>1873.8351265468527</c:v>
                </c:pt>
                <c:pt idx="593">
                  <c:v>1881.1852269807093</c:v>
                </c:pt>
                <c:pt idx="594">
                  <c:v>1888.4255885462233</c:v>
                </c:pt>
                <c:pt idx="595">
                  <c:v>1895.5565262564655</c:v>
                </c:pt>
                <c:pt idx="596">
                  <c:v>1902.5783492243158</c:v>
                </c:pt>
                <c:pt idx="597">
                  <c:v>1909.491360744162</c:v>
                </c:pt>
                <c:pt idx="598">
                  <c:v>1916.2958583719114</c:v>
                </c:pt>
                <c:pt idx="599">
                  <c:v>1922.9921340033732</c:v>
                </c:pt>
                <c:pt idx="600">
                  <c:v>1929.580473951065</c:v>
                </c:pt>
                <c:pt idx="601">
                  <c:v>1936.0611590195028</c:v>
                </c:pt>
                <c:pt idx="602">
                  <c:v>1942.4344645790288</c:v>
                </c:pt>
                <c:pt idx="603">
                  <c:v>1948.700660638232</c:v>
                </c:pt>
                <c:pt idx="604">
                  <c:v>1954.8600119150187</c:v>
                </c:pt>
                <c:pt idx="605">
                  <c:v>1960.9127779063892</c:v>
                </c:pt>
                <c:pt idx="606">
                  <c:v>1966.8592129569754</c:v>
                </c:pt>
                <c:pt idx="607">
                  <c:v>1972.6995663263981</c:v>
                </c:pt>
                <c:pt idx="608">
                  <c:v>1978.4340822554989</c:v>
                </c:pt>
                <c:pt idx="609">
                  <c:v>1984.063000031507</c:v>
                </c:pt>
                <c:pt idx="610">
                  <c:v>1989.5865540521991</c:v>
                </c:pt>
                <c:pt idx="611">
                  <c:v>1995.0049738891107</c:v>
                </c:pt>
                <c:pt idx="612">
                  <c:v>2000.3184843498634</c:v>
                </c:pt>
                <c:pt idx="613">
                  <c:v>2005.527305539666</c:v>
                </c:pt>
                <c:pt idx="614">
                  <c:v>2010.6316529220587</c:v>
                </c:pt>
                <c:pt idx="615">
                  <c:v>2015.6317373789605</c:v>
                </c:pt>
                <c:pt idx="616">
                  <c:v>2020.5277652700927</c:v>
                </c:pt>
                <c:pt idx="617">
                  <c:v>2025.3199384918439</c:v>
                </c:pt>
                <c:pt idx="618">
                  <c:v>2030.0084545356508</c:v>
                </c:pt>
                <c:pt idx="619">
                  <c:v>2034.5935065459676</c:v>
                </c:pt>
                <c:pt idx="620">
                  <c:v>2039.0752833779029</c:v>
                </c:pt>
                <c:pt idx="621">
                  <c:v>2043.4539696546028</c:v>
                </c:pt>
                <c:pt idx="622">
                  <c:v>2047.7297458244623</c:v>
                </c:pt>
                <c:pt idx="623">
                  <c:v>2051.9027882182522</c:v>
                </c:pt>
                <c:pt idx="624">
                  <c:v>2055.9732691062527</c:v>
                </c:pt>
                <c:pt idx="625">
                  <c:v>2059.9413567554825</c:v>
                </c:pt>
                <c:pt idx="626">
                  <c:v>2063.8072154871247</c:v>
                </c:pt>
                <c:pt idx="627">
                  <c:v>2067.5710057342499</c:v>
                </c:pt>
                <c:pt idx="628">
                  <c:v>2071.2328840999371</c:v>
                </c:pt>
                <c:pt idx="629">
                  <c:v>2074.7930034159081</c:v>
                </c:pt>
                <c:pt idx="630">
                  <c:v>2078.2515128017835</c:v>
                </c:pt>
                <c:pt idx="631">
                  <c:v>2081.6085577250801</c:v>
                </c:pt>
                <c:pt idx="632">
                  <c:v>2084.8642800620705</c:v>
                </c:pt>
                <c:pt idx="633">
                  <c:v>2088.0188181596327</c:v>
                </c:pt>
                <c:pt idx="634">
                  <c:v>2091.0723068982138</c:v>
                </c:pt>
                <c:pt idx="635">
                  <c:v>2094.0248777560496</c:v>
                </c:pt>
                <c:pt idx="636">
                  <c:v>2096.8766588747658</c:v>
                </c:pt>
                <c:pt idx="637">
                  <c:v>2099.6277751265097</c:v>
                </c:pt>
                <c:pt idx="638">
                  <c:v>2102.2783481827464</c:v>
                </c:pt>
                <c:pt idx="639">
                  <c:v>2104.8284965848666</c:v>
                </c:pt>
                <c:pt idx="640">
                  <c:v>2107.2783358167435</c:v>
                </c:pt>
                <c:pt idx="641">
                  <c:v>2109.6279783793884</c:v>
                </c:pt>
                <c:pt idx="642">
                  <c:v>2111.8775338678374</c:v>
                </c:pt>
                <c:pt idx="643">
                  <c:v>2114.0271090504102</c:v>
                </c:pt>
                <c:pt idx="644">
                  <c:v>2116.0768079504733</c:v>
                </c:pt>
                <c:pt idx="645">
                  <c:v>2118.0267319308314</c:v>
                </c:pt>
                <c:pt idx="646">
                  <c:v>2119.8769797808623</c:v>
                </c:pt>
                <c:pt idx="647">
                  <c:v>2121.6276478065024</c:v>
                </c:pt>
                <c:pt idx="648">
                  <c:v>2123.2788299231752</c:v>
                </c:pt>
                <c:pt idx="649">
                  <c:v>2124.830617751737</c:v>
                </c:pt>
                <c:pt idx="650">
                  <c:v>2126.2831007175014</c:v>
                </c:pt>
                <c:pt idx="651">
                  <c:v>2127.6363661523783</c:v>
                </c:pt>
                <c:pt idx="652">
                  <c:v>2128.8904994001441</c:v>
                </c:pt>
                <c:pt idx="653">
                  <c:v>2130.0455839248311</c:v>
                </c:pt>
                <c:pt idx="654">
                  <c:v>2131.1017014221975</c:v>
                </c:pt>
                <c:pt idx="655">
                  <c:v>2132.0589319342125</c:v>
                </c:pt>
                <c:pt idx="656">
                  <c:v>2132.917353966458</c:v>
                </c:pt>
                <c:pt idx="657">
                  <c:v>2133.677044608311</c:v>
                </c:pt>
                <c:pt idx="658">
                  <c:v>2134.3380796557508</c:v>
                </c:pt>
                <c:pt idx="659">
                  <c:v>2134.9005337365847</c:v>
                </c:pt>
                <c:pt idx="660">
                  <c:v>2135.3644804378696</c:v>
                </c:pt>
                <c:pt idx="661">
                  <c:v>2135.7299924352651</c:v>
                </c:pt>
                <c:pt idx="662">
                  <c:v>2135.9971416240282</c:v>
                </c:pt>
                <c:pt idx="663">
                  <c:v>2136.1659992513328</c:v>
                </c:pt>
                <c:pt idx="664">
                  <c:v>2136.2366360495694</c:v>
                </c:pt>
                <c:pt idx="665">
                  <c:v>2136.2091223702701</c:v>
                </c:pt>
                <c:pt idx="666">
                  <c:v>2136.0835283182769</c:v>
                </c:pt>
                <c:pt idx="667">
                  <c:v>2135.8599238857687</c:v>
                </c:pt>
                <c:pt idx="668">
                  <c:v>2135.5383790857531</c:v>
                </c:pt>
                <c:pt idx="669">
                  <c:v>2135.1189640846324</c:v>
                </c:pt>
                <c:pt idx="670">
                  <c:v>2134.6017493334512</c:v>
                </c:pt>
                <c:pt idx="671">
                  <c:v>2133.9868056974533</c:v>
                </c:pt>
                <c:pt idx="672">
                  <c:v>2133.2742045835776</c:v>
                </c:pt>
                <c:pt idx="673">
                  <c:v>2132.4640180655551</c:v>
                </c:pt>
                <c:pt idx="674">
                  <c:v>2131.5563190062835</c:v>
                </c:pt>
                <c:pt idx="675">
                  <c:v>2130.5511811771839</c:v>
                </c:pt>
                <c:pt idx="676">
                  <c:v>2129.4486793742785</c:v>
                </c:pt>
                <c:pt idx="677">
                  <c:v>2128.2488895307497</c:v>
                </c:pt>
                <c:pt idx="678">
                  <c:v>2126.9518888257858</c:v>
                </c:pt>
                <c:pt idx="679">
                  <c:v>2125.5577557895413</c:v>
                </c:pt>
                <c:pt idx="680">
                  <c:v>2124.0665704040748</c:v>
                </c:pt>
                <c:pt idx="681">
                  <c:v>2122.4784142001672</c:v>
                </c:pt>
                <c:pt idx="682">
                  <c:v>2120.7933703499452</c:v>
                </c:pt>
                <c:pt idx="683">
                  <c:v>2119.0115237552668</c:v>
                </c:pt>
                <c:pt idx="684">
                  <c:v>2117.1329611318588</c:v>
                </c:pt>
                <c:pt idx="685">
                  <c:v>2115.1577710892143</c:v>
                </c:pt>
                <c:pt idx="686">
                  <c:v>2113.0860442062867</c:v>
                </c:pt>
                <c:pt idx="687">
                  <c:v>2110.9178731030338</c:v>
                </c:pt>
                <c:pt idx="688">
                  <c:v>2108.6533525078858</c:v>
                </c:pt>
                <c:pt idx="689">
                  <c:v>2106.2925793212257</c:v>
                </c:pt>
                <c:pt idx="690">
                  <c:v>2103.8356526749849</c:v>
                </c:pt>
                <c:pt idx="691">
                  <c:v>2101.2826739884617</c:v>
                </c:pt>
                <c:pt idx="692">
                  <c:v>2098.6337470204894</c:v>
                </c:pt>
                <c:pt idx="693">
                  <c:v>2095.8889779180786</c:v>
                </c:pt>
                <c:pt idx="694">
                  <c:v>2093.0484752616621</c:v>
                </c:pt>
                <c:pt idx="695">
                  <c:v>2090.1123501070833</c:v>
                </c:pt>
                <c:pt idx="696">
                  <c:v>2087.080716024459</c:v>
                </c:pt>
                <c:pt idx="697">
                  <c:v>2083.9536891340535</c:v>
                </c:pt>
                <c:pt idx="698">
                  <c:v>2080.7313881393034</c:v>
                </c:pt>
                <c:pt idx="699">
                  <c:v>2077.4139343571187</c:v>
                </c:pt>
                <c:pt idx="700">
                  <c:v>2074.001451745597</c:v>
                </c:pt>
                <c:pt idx="701">
                  <c:v>2070.4940669292755</c:v>
                </c:pt>
                <c:pt idx="702">
                  <c:v>2066.891909222044</c:v>
                </c:pt>
                <c:pt idx="703">
                  <c:v>2063.1951106478364</c:v>
                </c:pt>
                <c:pt idx="704">
                  <c:v>2059.4038059592199</c:v>
                </c:pt>
                <c:pt idx="705">
                  <c:v>2055.5181326539832</c:v>
                </c:pt>
                <c:pt idx="706">
                  <c:v>2051.5382309898391</c:v>
                </c:pt>
                <c:pt idx="707">
                  <c:v>2047.4642439973306</c:v>
                </c:pt>
                <c:pt idx="708">
                  <c:v>2043.2963174910437</c:v>
                </c:pt>
                <c:pt idx="709">
                  <c:v>2039.0346000792129</c:v>
                </c:pt>
                <c:pt idx="710">
                  <c:v>2034.6792431718043</c:v>
                </c:pt>
                <c:pt idx="711">
                  <c:v>2030.2304009871609</c:v>
                </c:pt>
                <c:pt idx="712">
                  <c:v>2025.6882305572806</c:v>
                </c:pt>
                <c:pt idx="713">
                  <c:v>2021.0528917318036</c:v>
                </c:pt>
                <c:pt idx="714">
                  <c:v>2016.3245471807734</c:v>
                </c:pt>
                <c:pt idx="715">
                  <c:v>2011.5033623962379</c:v>
                </c:pt>
                <c:pt idx="716">
                  <c:v>2006.5895056927475</c:v>
                </c:pt>
                <c:pt idx="717">
                  <c:v>2001.5831482068077</c:v>
                </c:pt>
                <c:pt idx="718">
                  <c:v>1996.48446389534</c:v>
                </c:pt>
                <c:pt idx="719">
                  <c:v>1991.2936295331983</c:v>
                </c:pt>
                <c:pt idx="720">
                  <c:v>1986.0108247097892</c:v>
                </c:pt>
                <c:pt idx="721">
                  <c:v>1980.6362318248375</c:v>
                </c:pt>
                <c:pt idx="722">
                  <c:v>1975.1700360833408</c:v>
                </c:pt>
                <c:pt idx="723">
                  <c:v>1969.6124254897481</c:v>
                </c:pt>
                <c:pt idx="724">
                  <c:v>1963.9635908414004</c:v>
                </c:pt>
                <c:pt idx="725">
                  <c:v>1958.2237257212664</c:v>
                </c:pt>
                <c:pt idx="726">
                  <c:v>1952.3930264900041</c:v>
                </c:pt>
                <c:pt idx="727">
                  <c:v>1946.4716922773789</c:v>
                </c:pt>
                <c:pt idx="728">
                  <c:v>1940.459924973065</c:v>
                </c:pt>
                <c:pt idx="729">
                  <c:v>1934.3579292168567</c:v>
                </c:pt>
                <c:pt idx="730">
                  <c:v>1928.1659123883139</c:v>
                </c:pt>
                <c:pt idx="731">
                  <c:v>1921.8840845958644</c:v>
                </c:pt>
                <c:pt idx="732">
                  <c:v>1915.5126586653844</c:v>
                </c:pt>
                <c:pt idx="733">
                  <c:v>1909.0518501282788</c:v>
                </c:pt>
                <c:pt idx="734">
                  <c:v>1902.5018772090787</c:v>
                </c:pt>
                <c:pt idx="735">
                  <c:v>1895.8629608125741</c:v>
                </c:pt>
                <c:pt idx="736">
                  <c:v>1889.1353245105011</c:v>
                </c:pt>
                <c:pt idx="737">
                  <c:v>1882.3191945277956</c:v>
                </c:pt>
                <c:pt idx="738">
                  <c:v>1875.4147997284324</c:v>
                </c:pt>
                <c:pt idx="739">
                  <c:v>1868.422371600861</c:v>
                </c:pt>
                <c:pt idx="740">
                  <c:v>1861.3421442430538</c:v>
                </c:pt>
                <c:pt idx="741">
                  <c:v>1854.1743543471778</c:v>
                </c:pt>
                <c:pt idx="742">
                  <c:v>1846.9192411839019</c:v>
                </c:pt>
                <c:pt idx="743">
                  <c:v>1839.5770465863532</c:v>
                </c:pt>
                <c:pt idx="744">
                  <c:v>1832.1480149337299</c:v>
                </c:pt>
                <c:pt idx="745">
                  <c:v>1824.6323931345846</c:v>
                </c:pt>
                <c:pt idx="746">
                  <c:v>1817.0304306097853</c:v>
                </c:pt>
                <c:pt idx="747">
                  <c:v>1809.3423792751639</c:v>
                </c:pt>
                <c:pt idx="748">
                  <c:v>1801.5684935238633</c:v>
                </c:pt>
                <c:pt idx="749">
                  <c:v>1793.7090302083875</c:v>
                </c:pt>
                <c:pt idx="750">
                  <c:v>1785.7642486223674</c:v>
                </c:pt>
                <c:pt idx="751">
                  <c:v>1777.7344104820468</c:v>
                </c:pt>
                <c:pt idx="752">
                  <c:v>1769.6197799074978</c:v>
                </c:pt>
                <c:pt idx="753">
                  <c:v>1761.4206234035723</c:v>
                </c:pt>
                <c:pt idx="754">
                  <c:v>1753.1372098405966</c:v>
                </c:pt>
                <c:pt idx="755">
                  <c:v>1744.7698104348156</c:v>
                </c:pt>
                <c:pt idx="756">
                  <c:v>1736.3186987285935</c:v>
                </c:pt>
                <c:pt idx="757">
                  <c:v>1727.7841505703771</c:v>
                </c:pt>
                <c:pt idx="758">
                  <c:v>1719.1664440944273</c:v>
                </c:pt>
                <c:pt idx="759">
                  <c:v>1710.4658597003252</c:v>
                </c:pt>
                <c:pt idx="760">
                  <c:v>1701.6826800322578</c:v>
                </c:pt>
                <c:pt idx="761">
                  <c:v>1692.8171899580907</c:v>
                </c:pt>
                <c:pt idx="762">
                  <c:v>1683.8696765482298</c:v>
                </c:pt>
                <c:pt idx="763">
                  <c:v>1674.8404290542805</c:v>
                </c:pt>
                <c:pt idx="764">
                  <c:v>1665.7297388875081</c:v>
                </c:pt>
                <c:pt idx="765">
                  <c:v>1656.5378995971037</c:v>
                </c:pt>
                <c:pt idx="766">
                  <c:v>1647.2652068482616</c:v>
                </c:pt>
                <c:pt idx="767">
                  <c:v>1637.9119584000739</c:v>
                </c:pt>
                <c:pt idx="768">
                  <c:v>1628.4784540832427</c:v>
                </c:pt>
                <c:pt idx="769">
                  <c:v>1618.964995777621</c:v>
                </c:pt>
                <c:pt idx="770">
                  <c:v>1609.3718873895803</c:v>
                </c:pt>
                <c:pt idx="771">
                  <c:v>1599.6994348292144</c:v>
                </c:pt>
                <c:pt idx="772">
                  <c:v>1589.9479459873805</c:v>
                </c:pt>
                <c:pt idx="773">
                  <c:v>1580.1177307125838</c:v>
                </c:pt>
                <c:pt idx="774">
                  <c:v>1570.2091007877079</c:v>
                </c:pt>
                <c:pt idx="775">
                  <c:v>1560.2223699065983</c:v>
                </c:pt>
                <c:pt idx="776">
                  <c:v>1550.1578536504992</c:v>
                </c:pt>
                <c:pt idx="777">
                  <c:v>1540.0158694643524</c:v>
                </c:pt>
                <c:pt idx="778">
                  <c:v>1529.796736632956</c:v>
                </c:pt>
                <c:pt idx="779">
                  <c:v>1519.5007762569944</c:v>
                </c:pt>
                <c:pt idx="780">
                  <c:v>1509.1283112289368</c:v>
                </c:pt>
                <c:pt idx="781">
                  <c:v>1498.6796662088132</c:v>
                </c:pt>
                <c:pt idx="782">
                  <c:v>1488.1551675998685</c:v>
                </c:pt>
                <c:pt idx="783">
                  <c:v>1477.5551435241</c:v>
                </c:pt>
                <c:pt idx="784">
                  <c:v>1466.8799237976827</c:v>
                </c:pt>
                <c:pt idx="785">
                  <c:v>1456.1298399062841</c:v>
                </c:pt>
                <c:pt idx="786">
                  <c:v>1445.3052249802752</c:v>
                </c:pt>
                <c:pt idx="787">
                  <c:v>1434.4064137698385</c:v>
                </c:pt>
                <c:pt idx="788">
                  <c:v>1423.4337426199797</c:v>
                </c:pt>
                <c:pt idx="789">
                  <c:v>1412.3875494454444</c:v>
                </c:pt>
                <c:pt idx="790">
                  <c:v>1401.2681737055448</c:v>
                </c:pt>
                <c:pt idx="791">
                  <c:v>1390.0759563788993</c:v>
                </c:pt>
                <c:pt idx="792">
                  <c:v>1378.8112399380907</c:v>
                </c:pt>
                <c:pt idx="793">
                  <c:v>1367.4743683242432</c:v>
                </c:pt>
                <c:pt idx="794">
                  <c:v>1356.0656869215259</c:v>
                </c:pt>
                <c:pt idx="795">
                  <c:v>1344.5855425315829</c:v>
                </c:pt>
                <c:pt idx="796">
                  <c:v>1333.0342833478956</c:v>
                </c:pt>
                <c:pt idx="797">
                  <c:v>1321.412258930081</c:v>
                </c:pt>
                <c:pt idx="798">
                  <c:v>1309.7198201781287</c:v>
                </c:pt>
                <c:pt idx="799">
                  <c:v>1297.9573193065803</c:v>
                </c:pt>
                <c:pt idx="800">
                  <c:v>1286.1251098186556</c:v>
                </c:pt>
                <c:pt idx="801">
                  <c:v>1274.2235464803284</c:v>
                </c:pt>
                <c:pt idx="802">
                  <c:v>1262.2529852943558</c:v>
                </c:pt>
                <c:pt idx="803">
                  <c:v>1250.2137834742646</c:v>
                </c:pt>
                <c:pt idx="804">
                  <c:v>1238.1062994182987</c:v>
                </c:pt>
                <c:pt idx="805">
                  <c:v>1225.9308926833301</c:v>
                </c:pt>
                <c:pt idx="806">
                  <c:v>1213.6879239587377</c:v>
                </c:pt>
                <c:pt idx="807">
                  <c:v>1201.3777550402583</c:v>
                </c:pt>
                <c:pt idx="808">
                  <c:v>1189.0007488038113</c:v>
                </c:pt>
                <c:pt idx="809">
                  <c:v>1176.5572691793031</c:v>
                </c:pt>
                <c:pt idx="810">
                  <c:v>1164.0476811244114</c:v>
                </c:pt>
                <c:pt idx="811">
                  <c:v>1151.4723505983573</c:v>
                </c:pt>
                <c:pt idx="812">
                  <c:v>1138.8316445356643</c:v>
                </c:pt>
                <c:pt idx="813">
                  <c:v>1126.1259308199114</c:v>
                </c:pt>
                <c:pt idx="814">
                  <c:v>1113.3555782574808</c:v>
                </c:pt>
                <c:pt idx="815">
                  <c:v>1100.5209565513053</c:v>
                </c:pt>
                <c:pt idx="816">
                  <c:v>1087.6224362746191</c:v>
                </c:pt>
                <c:pt idx="817">
                  <c:v>1074.6603888447139</c:v>
                </c:pt>
                <c:pt idx="818">
                  <c:v>1061.635186496706</c:v>
                </c:pt>
                <c:pt idx="819">
                  <c:v>1048.5472022573153</c:v>
                </c:pt>
                <c:pt idx="820">
                  <c:v>1035.3968099186616</c:v>
                </c:pt>
                <c:pt idx="821">
                  <c:v>1022.1843840120802</c:v>
                </c:pt>
                <c:pt idx="822">
                  <c:v>1008.910299781962</c:v>
                </c:pt>
                <c:pt idx="823">
                  <c:v>995.57493315961904</c:v>
                </c:pt>
                <c:pt idx="824">
                  <c:v>982.17866073718119</c:v>
                </c:pt>
                <c:pt idx="825">
                  <c:v>968.72185974152512</c:v>
                </c:pt>
                <c:pt idx="826">
                  <c:v>955.20490800824132</c:v>
                </c:pt>
                <c:pt idx="827">
                  <c:v>941.62818395564022</c:v>
                </c:pt>
                <c:pt idx="828">
                  <c:v>927.99206655880221</c:v>
                </c:pt>
                <c:pt idx="829">
                  <c:v>914.29693532367412</c:v>
                </c:pt>
                <c:pt idx="830">
                  <c:v>900.54317026121544</c:v>
                </c:pt>
                <c:pt idx="831">
                  <c:v>886.73115186159839</c:v>
                </c:pt>
                <c:pt idx="832">
                  <c:v>872.86126106846348</c:v>
                </c:pt>
                <c:pt idx="833">
                  <c:v>858.93387925323543</c:v>
                </c:pt>
                <c:pt idx="834">
                  <c:v>844.94938818950152</c:v>
                </c:pt>
                <c:pt idx="835">
                  <c:v>830.90817002745587</c:v>
                </c:pt>
                <c:pt idx="836">
                  <c:v>816.81060726841315</c:v>
                </c:pt>
                <c:pt idx="837">
                  <c:v>802.65708273939424</c:v>
                </c:pt>
                <c:pt idx="838">
                  <c:v>788.44797956778746</c:v>
                </c:pt>
                <c:pt idx="839">
                  <c:v>774.18368115608791</c:v>
                </c:pt>
                <c:pt idx="840">
                  <c:v>759.86457115671885</c:v>
                </c:pt>
                <c:pt idx="841">
                  <c:v>745.49103344693719</c:v>
                </c:pt>
                <c:pt idx="842">
                  <c:v>731.06345210382653</c:v>
                </c:pt>
                <c:pt idx="843">
                  <c:v>716.58221137938096</c:v>
                </c:pt>
                <c:pt idx="844">
                  <c:v>702.04769567568235</c:v>
                </c:pt>
                <c:pt idx="845">
                  <c:v>687.46028952017366</c:v>
                </c:pt>
                <c:pt idx="846">
                  <c:v>672.82037754103237</c:v>
                </c:pt>
                <c:pt idx="847">
                  <c:v>658.12834444264524</c:v>
                </c:pt>
                <c:pt idx="848">
                  <c:v>643.38457498118896</c:v>
                </c:pt>
                <c:pt idx="849">
                  <c:v>628.58945394031798</c:v>
                </c:pt>
                <c:pt idx="850">
                  <c:v>613.74336610696378</c:v>
                </c:pt>
                <c:pt idx="851">
                  <c:v>598.846696247247</c:v>
                </c:pt>
                <c:pt idx="852">
                  <c:v>583.89982908250613</c:v>
                </c:pt>
                <c:pt idx="853">
                  <c:v>568.90314926544488</c:v>
                </c:pt>
                <c:pt idx="854">
                  <c:v>553.85704135640151</c:v>
                </c:pt>
                <c:pt idx="855">
                  <c:v>538.76188979974188</c:v>
                </c:pt>
                <c:pt idx="856">
                  <c:v>523.61807890037994</c:v>
                </c:pt>
                <c:pt idx="857">
                  <c:v>508.4259928004272</c:v>
                </c:pt>
                <c:pt idx="858">
                  <c:v>493.18601545597426</c:v>
                </c:pt>
                <c:pt idx="859">
                  <c:v>477.89853061400703</c:v>
                </c:pt>
                <c:pt idx="860">
                  <c:v>462.56392178945981</c:v>
                </c:pt>
                <c:pt idx="861">
                  <c:v>447.18257224240773</c:v>
                </c:pt>
                <c:pt idx="862">
                  <c:v>431.75486495540105</c:v>
                </c:pt>
                <c:pt idx="863">
                  <c:v>416.28118261094374</c:v>
                </c:pt>
                <c:pt idx="864">
                  <c:v>400.76190756911842</c:v>
                </c:pt>
                <c:pt idx="865">
                  <c:v>385.1974218453604</c:v>
                </c:pt>
                <c:pt idx="866">
                  <c:v>369.58810708838257</c:v>
                </c:pt>
                <c:pt idx="867">
                  <c:v>353.93434455825383</c:v>
                </c:pt>
                <c:pt idx="868">
                  <c:v>338.23651510463282</c:v>
                </c:pt>
                <c:pt idx="869">
                  <c:v>322.49499914515951</c:v>
                </c:pt>
                <c:pt idx="870">
                  <c:v>306.71017664400654</c:v>
                </c:pt>
                <c:pt idx="871">
                  <c:v>290.88242709059233</c:v>
                </c:pt>
                <c:pt idx="872">
                  <c:v>275.01212947845835</c:v>
                </c:pt>
                <c:pt idx="873">
                  <c:v>259.09966228431176</c:v>
                </c:pt>
                <c:pt idx="874">
                  <c:v>243.14540344723656</c:v>
                </c:pt>
                <c:pt idx="875">
                  <c:v>227.149730348074</c:v>
                </c:pt>
                <c:pt idx="876">
                  <c:v>211.11301978897484</c:v>
                </c:pt>
                <c:pt idx="877">
                  <c:v>195.03564797312512</c:v>
                </c:pt>
                <c:pt idx="878">
                  <c:v>178.91799048464708</c:v>
                </c:pt>
                <c:pt idx="879">
                  <c:v>162.76042226867722</c:v>
                </c:pt>
                <c:pt idx="880">
                  <c:v>146.56331761162301</c:v>
                </c:pt>
                <c:pt idx="881">
                  <c:v>130.32705012160008</c:v>
                </c:pt>
                <c:pt idx="882">
                  <c:v>114.05199270905139</c:v>
                </c:pt>
                <c:pt idx="883">
                  <c:v>97.738517567550076</c:v>
                </c:pt>
                <c:pt idx="884">
                  <c:v>81.386996154787397</c:v>
                </c:pt>
                <c:pt idx="885">
                  <c:v>64.997799173747396</c:v>
                </c:pt>
                <c:pt idx="886">
                  <c:v>48.571296554069662</c:v>
                </c:pt>
                <c:pt idx="887">
                  <c:v>32.107857433601637</c:v>
                </c:pt>
                <c:pt idx="888">
                  <c:v>15.607850140141867</c:v>
                </c:pt>
                <c:pt idx="889">
                  <c:v>-0.92835782662458399</c:v>
                </c:pt>
                <c:pt idx="890">
                  <c:v>-0.94491206098317293</c:v>
                </c:pt>
                <c:pt idx="891">
                  <c:v>-0.96146633099248613</c:v>
                </c:pt>
                <c:pt idx="892">
                  <c:v>-0.97802063665215921</c:v>
                </c:pt>
                <c:pt idx="893">
                  <c:v>-0.9945749779618277</c:v>
                </c:pt>
                <c:pt idx="894">
                  <c:v>-1.0111293549211271</c:v>
                </c:pt>
                <c:pt idx="895">
                  <c:v>-1.027683767529693</c:v>
                </c:pt>
                <c:pt idx="896">
                  <c:v>-1.044238215787161</c:v>
                </c:pt>
                <c:pt idx="897">
                  <c:v>-1.0607926996931669</c:v>
                </c:pt>
                <c:pt idx="898">
                  <c:v>-1.0773472192473461</c:v>
                </c:pt>
                <c:pt idx="899">
                  <c:v>-1.093901774449334</c:v>
                </c:pt>
                <c:pt idx="900">
                  <c:v>-1.1104563652987665</c:v>
                </c:pt>
                <c:pt idx="901">
                  <c:v>-1.1270109917952789</c:v>
                </c:pt>
                <c:pt idx="902">
                  <c:v>-1.1435656539385068</c:v>
                </c:pt>
                <c:pt idx="903">
                  <c:v>-1.160120351728086</c:v>
                </c:pt>
                <c:pt idx="904">
                  <c:v>-1.176675085163652</c:v>
                </c:pt>
                <c:pt idx="905">
                  <c:v>-1.1932298542448403</c:v>
                </c:pt>
                <c:pt idx="906">
                  <c:v>-1.2097846589712864</c:v>
                </c:pt>
                <c:pt idx="907">
                  <c:v>-1.2263394993426262</c:v>
                </c:pt>
                <c:pt idx="908">
                  <c:v>-1.2428943753584951</c:v>
                </c:pt>
                <c:pt idx="909">
                  <c:v>-1.2594492870185285</c:v>
                </c:pt>
                <c:pt idx="910">
                  <c:v>-1.2760042343223623</c:v>
                </c:pt>
                <c:pt idx="911">
                  <c:v>-1.2925592172696319</c:v>
                </c:pt>
                <c:pt idx="912">
                  <c:v>-1.309114235859973</c:v>
                </c:pt>
                <c:pt idx="913">
                  <c:v>-1.3256692900930211</c:v>
                </c:pt>
                <c:pt idx="914">
                  <c:v>-1.3422243799684119</c:v>
                </c:pt>
                <c:pt idx="915">
                  <c:v>-1.358779505485781</c:v>
                </c:pt>
                <c:pt idx="916">
                  <c:v>-1.3753346666447637</c:v>
                </c:pt>
                <c:pt idx="917">
                  <c:v>-1.3918898634449959</c:v>
                </c:pt>
                <c:pt idx="918">
                  <c:v>-1.408445095886113</c:v>
                </c:pt>
                <c:pt idx="919">
                  <c:v>-1.4250003639677509</c:v>
                </c:pt>
                <c:pt idx="920">
                  <c:v>-1.4415556676895449</c:v>
                </c:pt>
                <c:pt idx="921">
                  <c:v>-1.4581110070511307</c:v>
                </c:pt>
                <c:pt idx="922">
                  <c:v>-1.474666382052144</c:v>
                </c:pt>
                <c:pt idx="923">
                  <c:v>-1.4912217926922202</c:v>
                </c:pt>
                <c:pt idx="924">
                  <c:v>-1.5077772389709949</c:v>
                </c:pt>
                <c:pt idx="925">
                  <c:v>-1.5243327208881039</c:v>
                </c:pt>
                <c:pt idx="926">
                  <c:v>-1.5408882384431826</c:v>
                </c:pt>
                <c:pt idx="927">
                  <c:v>-1.5574437916358668</c:v>
                </c:pt>
                <c:pt idx="928">
                  <c:v>-1.5739993804657919</c:v>
                </c:pt>
                <c:pt idx="929">
                  <c:v>-1.5905550049325936</c:v>
                </c:pt>
                <c:pt idx="930">
                  <c:v>-1.6071106650359075</c:v>
                </c:pt>
                <c:pt idx="931">
                  <c:v>-1.6236663607753692</c:v>
                </c:pt>
                <c:pt idx="932">
                  <c:v>-1.6402220921506143</c:v>
                </c:pt>
                <c:pt idx="933">
                  <c:v>-1.6567778591612785</c:v>
                </c:pt>
                <c:pt idx="934">
                  <c:v>-1.6733336618069974</c:v>
                </c:pt>
                <c:pt idx="935">
                  <c:v>-1.6898895000874066</c:v>
                </c:pt>
                <c:pt idx="936">
                  <c:v>-1.7064453740021415</c:v>
                </c:pt>
                <c:pt idx="937">
                  <c:v>-1.7230012835508379</c:v>
                </c:pt>
                <c:pt idx="938">
                  <c:v>-1.7395572287331313</c:v>
                </c:pt>
                <c:pt idx="939">
                  <c:v>-1.7561132095486576</c:v>
                </c:pt>
                <c:pt idx="940">
                  <c:v>-1.772669225997052</c:v>
                </c:pt>
                <c:pt idx="941">
                  <c:v>-1.7892252780779505</c:v>
                </c:pt>
                <c:pt idx="942">
                  <c:v>-1.8057813657909885</c:v>
                </c:pt>
                <c:pt idx="943">
                  <c:v>-1.8223374891358015</c:v>
                </c:pt>
                <c:pt idx="944">
                  <c:v>-1.8388936481120255</c:v>
                </c:pt>
                <c:pt idx="945">
                  <c:v>-1.8554498427192958</c:v>
                </c:pt>
                <c:pt idx="946">
                  <c:v>-1.8720060729572481</c:v>
                </c:pt>
                <c:pt idx="947">
                  <c:v>-1.8885623388255179</c:v>
                </c:pt>
                <c:pt idx="948">
                  <c:v>-1.905118640323741</c:v>
                </c:pt>
                <c:pt idx="949">
                  <c:v>-1.9216749774515529</c:v>
                </c:pt>
                <c:pt idx="950">
                  <c:v>-1.9382313502085895</c:v>
                </c:pt>
                <c:pt idx="951">
                  <c:v>-1.9547877585944862</c:v>
                </c:pt>
                <c:pt idx="952">
                  <c:v>-1.9713442026088785</c:v>
                </c:pt>
                <c:pt idx="953">
                  <c:v>-1.9879006822514023</c:v>
                </c:pt>
                <c:pt idx="954">
                  <c:v>-2.0044571975216932</c:v>
                </c:pt>
                <c:pt idx="955">
                  <c:v>-2.0210137484193864</c:v>
                </c:pt>
                <c:pt idx="956">
                  <c:v>-2.0375703349441179</c:v>
                </c:pt>
                <c:pt idx="957">
                  <c:v>-2.0541269570955234</c:v>
                </c:pt>
                <c:pt idx="958">
                  <c:v>-2.0706836148732384</c:v>
                </c:pt>
                <c:pt idx="959">
                  <c:v>-2.0872403082768982</c:v>
                </c:pt>
                <c:pt idx="960">
                  <c:v>-2.1037970373061392</c:v>
                </c:pt>
                <c:pt idx="961">
                  <c:v>-2.1203538019605963</c:v>
                </c:pt>
                <c:pt idx="962">
                  <c:v>-2.1369106022399054</c:v>
                </c:pt>
                <c:pt idx="963">
                  <c:v>-2.1534674381437022</c:v>
                </c:pt>
                <c:pt idx="964">
                  <c:v>-2.1700243096716223</c:v>
                </c:pt>
                <c:pt idx="965">
                  <c:v>-2.1865812168233014</c:v>
                </c:pt>
                <c:pt idx="966">
                  <c:v>-2.203138159598375</c:v>
                </c:pt>
                <c:pt idx="967">
                  <c:v>-2.2196951379964789</c:v>
                </c:pt>
                <c:pt idx="968">
                  <c:v>-2.2362521520172485</c:v>
                </c:pt>
                <c:pt idx="969">
                  <c:v>-2.2528092016603196</c:v>
                </c:pt>
                <c:pt idx="970">
                  <c:v>-2.2693662869253277</c:v>
                </c:pt>
                <c:pt idx="971">
                  <c:v>-2.2859234078119086</c:v>
                </c:pt>
                <c:pt idx="972">
                  <c:v>-2.3024805643196982</c:v>
                </c:pt>
                <c:pt idx="973">
                  <c:v>-2.3190377564483318</c:v>
                </c:pt>
                <c:pt idx="974">
                  <c:v>-2.3355949841974448</c:v>
                </c:pt>
                <c:pt idx="975">
                  <c:v>-2.3521522475666732</c:v>
                </c:pt>
                <c:pt idx="976">
                  <c:v>-2.3687095465556527</c:v>
                </c:pt>
                <c:pt idx="977">
                  <c:v>-2.3852668811640187</c:v>
                </c:pt>
                <c:pt idx="978">
                  <c:v>-2.4018242513914072</c:v>
                </c:pt>
                <c:pt idx="979">
                  <c:v>-2.4183816572374535</c:v>
                </c:pt>
                <c:pt idx="980">
                  <c:v>-2.4349390987017934</c:v>
                </c:pt>
                <c:pt idx="981">
                  <c:v>-2.4514965757840623</c:v>
                </c:pt>
                <c:pt idx="982">
                  <c:v>-2.4680540884838962</c:v>
                </c:pt>
                <c:pt idx="983">
                  <c:v>-2.4846116368009308</c:v>
                </c:pt>
                <c:pt idx="984">
                  <c:v>-2.5011692207348015</c:v>
                </c:pt>
                <c:pt idx="985">
                  <c:v>-2.5177268402851438</c:v>
                </c:pt>
                <c:pt idx="986">
                  <c:v>-2.534284495451594</c:v>
                </c:pt>
                <c:pt idx="987">
                  <c:v>-2.5508421862337869</c:v>
                </c:pt>
                <c:pt idx="988">
                  <c:v>-2.5673999126313589</c:v>
                </c:pt>
                <c:pt idx="989">
                  <c:v>-2.583957674643945</c:v>
                </c:pt>
                <c:pt idx="990">
                  <c:v>-2.6005154722711814</c:v>
                </c:pt>
                <c:pt idx="991">
                  <c:v>-2.6170733055127036</c:v>
                </c:pt>
                <c:pt idx="992">
                  <c:v>-2.6336311743681473</c:v>
                </c:pt>
                <c:pt idx="993">
                  <c:v>-2.650189078837148</c:v>
                </c:pt>
                <c:pt idx="994">
                  <c:v>-2.6667470189193416</c:v>
                </c:pt>
                <c:pt idx="995">
                  <c:v>-2.6833049946143634</c:v>
                </c:pt>
                <c:pt idx="996">
                  <c:v>-2.6998630059218494</c:v>
                </c:pt>
                <c:pt idx="997">
                  <c:v>-2.7164210528414348</c:v>
                </c:pt>
                <c:pt idx="998">
                  <c:v>-2.7329791353727555</c:v>
                </c:pt>
                <c:pt idx="999">
                  <c:v>-2.7495372535154474</c:v>
                </c:pt>
                <c:pt idx="1000">
                  <c:v>-2.7660954072691459</c:v>
                </c:pt>
              </c:numCache>
            </c:numRef>
          </c:yVal>
          <c:smooth val="1"/>
          <c:extLst>
            <c:ext xmlns:c16="http://schemas.microsoft.com/office/drawing/2014/chart" uri="{C3380CC4-5D6E-409C-BE32-E72D297353CC}">
              <c16:uniqueId val="{00000002-AEC5-4DB4-900B-02E79FDE56EC}"/>
            </c:ext>
          </c:extLst>
        </c:ser>
        <c:ser>
          <c:idx val="2"/>
          <c:order val="3"/>
          <c:tx>
            <c:strRef>
              <c:f>Trajecto!$B$108</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AEC5-4DB4-900B-02E79FDE56E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Trajecto!$B$131:$B$137</c:f>
              <c:numCache>
                <c:formatCode>0.0</c:formatCode>
                <c:ptCount val="7"/>
                <c:pt idx="0">
                  <c:v>21</c:v>
                </c:pt>
                <c:pt idx="1">
                  <c:v>154.55716890646664</c:v>
                </c:pt>
                <c:pt idx="2">
                  <c:v>288.11433781293329</c:v>
                </c:pt>
                <c:pt idx="3">
                  <c:v>286.23931494666363</c:v>
                </c:pt>
                <c:pt idx="4">
                  <c:v>288.11433781293329</c:v>
                </c:pt>
                <c:pt idx="5">
                  <c:v>281.84931494666364</c:v>
                </c:pt>
                <c:pt idx="6">
                  <c:v>288.11433781293329</c:v>
                </c:pt>
              </c:numCache>
            </c:numRef>
          </c:xVal>
          <c:yVal>
            <c:numRef>
              <c:f>Trajecto!$C$129:$C$135</c:f>
              <c:numCache>
                <c:formatCode>0</c:formatCode>
                <c:ptCount val="7"/>
                <c:pt idx="0">
                  <c:v>2135.3644804378696</c:v>
                </c:pt>
                <c:pt idx="1">
                  <c:v>1067.6822402189348</c:v>
                </c:pt>
                <c:pt idx="2">
                  <c:v>0</c:v>
                </c:pt>
                <c:pt idx="3">
                  <c:v>47.638534460619724</c:v>
                </c:pt>
                <c:pt idx="4">
                  <c:v>0</c:v>
                </c:pt>
                <c:pt idx="5">
                  <c:v>17.461167993943064</c:v>
                </c:pt>
                <c:pt idx="6">
                  <c:v>0</c:v>
                </c:pt>
              </c:numCache>
            </c:numRef>
          </c:yVal>
          <c:smooth val="0"/>
          <c:extLst>
            <c:ext xmlns:c16="http://schemas.microsoft.com/office/drawing/2014/chart" uri="{C3380CC4-5D6E-409C-BE32-E72D297353CC}">
              <c16:uniqueId val="{00000004-AEC5-4DB4-900B-02E79FDE56EC}"/>
            </c:ext>
          </c:extLst>
        </c:ser>
        <c:ser>
          <c:idx val="3"/>
          <c:order val="4"/>
          <c:tx>
            <c:strRef>
              <c:f>Trajecto!$B$109</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AEC5-4DB4-900B-02E79FDE56E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Trajecto!$B$148:$B$154</c:f>
              <c:numCache>
                <c:formatCode>0.0</c:formatCode>
                <c:ptCount val="7"/>
                <c:pt idx="0">
                  <c:v>0</c:v>
                </c:pt>
                <c:pt idx="1">
                  <c:v>0</c:v>
                </c:pt>
                <c:pt idx="2">
                  <c:v>0</c:v>
                </c:pt>
                <c:pt idx="3">
                  <c:v>0</c:v>
                </c:pt>
                <c:pt idx="4">
                  <c:v>0</c:v>
                </c:pt>
                <c:pt idx="5">
                  <c:v>0</c:v>
                </c:pt>
                <c:pt idx="6">
                  <c:v>0</c:v>
                </c:pt>
              </c:numCache>
            </c:numRef>
          </c:xVal>
          <c:yVal>
            <c:numRef>
              <c:f>Trajecto!$C$146:$C$152</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AEC5-4DB4-900B-02E79FDE56EC}"/>
            </c:ext>
          </c:extLst>
        </c:ser>
        <c:ser>
          <c:idx val="5"/>
          <c:order val="5"/>
          <c:tx>
            <c:strRef>
              <c:f>Trajecto!$B$106</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43.900100000000293</c:v>
                </c:pt>
                <c:pt idx="891">
                  <c:v>43.900200000000297</c:v>
                </c:pt>
                <c:pt idx="892">
                  <c:v>43.9003000000003</c:v>
                </c:pt>
                <c:pt idx="893">
                  <c:v>43.900400000000303</c:v>
                </c:pt>
                <c:pt idx="894">
                  <c:v>43.900500000000306</c:v>
                </c:pt>
                <c:pt idx="895">
                  <c:v>43.90060000000031</c:v>
                </c:pt>
                <c:pt idx="896">
                  <c:v>43.900700000000313</c:v>
                </c:pt>
                <c:pt idx="897">
                  <c:v>43.900800000000316</c:v>
                </c:pt>
                <c:pt idx="898">
                  <c:v>43.90090000000032</c:v>
                </c:pt>
                <c:pt idx="899">
                  <c:v>43.901000000000323</c:v>
                </c:pt>
                <c:pt idx="900">
                  <c:v>43.901100000000326</c:v>
                </c:pt>
                <c:pt idx="901">
                  <c:v>43.90120000000033</c:v>
                </c:pt>
                <c:pt idx="902">
                  <c:v>43.901300000000333</c:v>
                </c:pt>
                <c:pt idx="903">
                  <c:v>43.901400000000336</c:v>
                </c:pt>
                <c:pt idx="904">
                  <c:v>43.90150000000034</c:v>
                </c:pt>
                <c:pt idx="905">
                  <c:v>43.901600000000343</c:v>
                </c:pt>
                <c:pt idx="906">
                  <c:v>43.901700000000346</c:v>
                </c:pt>
                <c:pt idx="907">
                  <c:v>43.90180000000035</c:v>
                </c:pt>
                <c:pt idx="908">
                  <c:v>43.901900000000353</c:v>
                </c:pt>
                <c:pt idx="909">
                  <c:v>43.902000000000356</c:v>
                </c:pt>
                <c:pt idx="910">
                  <c:v>43.90210000000036</c:v>
                </c:pt>
                <c:pt idx="911">
                  <c:v>43.902200000000363</c:v>
                </c:pt>
                <c:pt idx="912">
                  <c:v>43.902300000000366</c:v>
                </c:pt>
                <c:pt idx="913">
                  <c:v>43.90240000000037</c:v>
                </c:pt>
                <c:pt idx="914">
                  <c:v>43.902500000000373</c:v>
                </c:pt>
                <c:pt idx="915">
                  <c:v>43.902600000000376</c:v>
                </c:pt>
                <c:pt idx="916">
                  <c:v>43.90270000000038</c:v>
                </c:pt>
                <c:pt idx="917">
                  <c:v>43.902800000000383</c:v>
                </c:pt>
                <c:pt idx="918">
                  <c:v>43.902900000000386</c:v>
                </c:pt>
                <c:pt idx="919">
                  <c:v>43.903000000000389</c:v>
                </c:pt>
                <c:pt idx="920">
                  <c:v>43.903100000000393</c:v>
                </c:pt>
                <c:pt idx="921">
                  <c:v>43.903200000000396</c:v>
                </c:pt>
                <c:pt idx="922">
                  <c:v>43.903300000000399</c:v>
                </c:pt>
                <c:pt idx="923">
                  <c:v>43.903400000000403</c:v>
                </c:pt>
                <c:pt idx="924">
                  <c:v>43.903500000000406</c:v>
                </c:pt>
                <c:pt idx="925">
                  <c:v>43.903600000000409</c:v>
                </c:pt>
                <c:pt idx="926">
                  <c:v>43.903700000000413</c:v>
                </c:pt>
                <c:pt idx="927">
                  <c:v>43.903800000000416</c:v>
                </c:pt>
                <c:pt idx="928">
                  <c:v>43.903900000000419</c:v>
                </c:pt>
                <c:pt idx="929">
                  <c:v>43.904000000000423</c:v>
                </c:pt>
                <c:pt idx="930">
                  <c:v>43.904100000000426</c:v>
                </c:pt>
                <c:pt idx="931">
                  <c:v>43.904200000000429</c:v>
                </c:pt>
                <c:pt idx="932">
                  <c:v>43.904300000000433</c:v>
                </c:pt>
                <c:pt idx="933">
                  <c:v>43.904400000000436</c:v>
                </c:pt>
                <c:pt idx="934">
                  <c:v>43.904500000000439</c:v>
                </c:pt>
                <c:pt idx="935">
                  <c:v>43.904600000000443</c:v>
                </c:pt>
                <c:pt idx="936">
                  <c:v>43.904700000000446</c:v>
                </c:pt>
                <c:pt idx="937">
                  <c:v>43.904800000000449</c:v>
                </c:pt>
                <c:pt idx="938">
                  <c:v>43.904900000000453</c:v>
                </c:pt>
                <c:pt idx="939">
                  <c:v>43.905000000000456</c:v>
                </c:pt>
                <c:pt idx="940">
                  <c:v>43.905100000000459</c:v>
                </c:pt>
                <c:pt idx="941">
                  <c:v>43.905200000000463</c:v>
                </c:pt>
                <c:pt idx="942">
                  <c:v>43.905300000000466</c:v>
                </c:pt>
                <c:pt idx="943">
                  <c:v>43.905400000000469</c:v>
                </c:pt>
                <c:pt idx="944">
                  <c:v>43.905500000000472</c:v>
                </c:pt>
                <c:pt idx="945">
                  <c:v>43.905600000000476</c:v>
                </c:pt>
                <c:pt idx="946">
                  <c:v>43.905700000000479</c:v>
                </c:pt>
                <c:pt idx="947">
                  <c:v>43.905800000000482</c:v>
                </c:pt>
                <c:pt idx="948">
                  <c:v>43.905900000000486</c:v>
                </c:pt>
                <c:pt idx="949">
                  <c:v>43.906000000000489</c:v>
                </c:pt>
                <c:pt idx="950">
                  <c:v>43.906100000000492</c:v>
                </c:pt>
                <c:pt idx="951">
                  <c:v>43.906200000000496</c:v>
                </c:pt>
                <c:pt idx="952">
                  <c:v>43.906300000000499</c:v>
                </c:pt>
                <c:pt idx="953">
                  <c:v>43.906400000000502</c:v>
                </c:pt>
                <c:pt idx="954">
                  <c:v>43.906500000000506</c:v>
                </c:pt>
                <c:pt idx="955">
                  <c:v>43.906600000000509</c:v>
                </c:pt>
                <c:pt idx="956">
                  <c:v>43.906700000000512</c:v>
                </c:pt>
                <c:pt idx="957">
                  <c:v>43.906800000000516</c:v>
                </c:pt>
                <c:pt idx="958">
                  <c:v>43.906900000000519</c:v>
                </c:pt>
                <c:pt idx="959">
                  <c:v>43.907000000000522</c:v>
                </c:pt>
                <c:pt idx="960">
                  <c:v>43.907100000000526</c:v>
                </c:pt>
                <c:pt idx="961">
                  <c:v>43.907200000000529</c:v>
                </c:pt>
                <c:pt idx="962">
                  <c:v>43.907300000000532</c:v>
                </c:pt>
                <c:pt idx="963">
                  <c:v>43.907400000000536</c:v>
                </c:pt>
                <c:pt idx="964">
                  <c:v>43.907500000000539</c:v>
                </c:pt>
                <c:pt idx="965">
                  <c:v>43.907600000000542</c:v>
                </c:pt>
                <c:pt idx="966">
                  <c:v>43.907700000000546</c:v>
                </c:pt>
                <c:pt idx="967">
                  <c:v>43.907800000000549</c:v>
                </c:pt>
                <c:pt idx="968">
                  <c:v>43.907900000000552</c:v>
                </c:pt>
                <c:pt idx="969">
                  <c:v>43.908000000000555</c:v>
                </c:pt>
                <c:pt idx="970">
                  <c:v>43.908100000000559</c:v>
                </c:pt>
                <c:pt idx="971">
                  <c:v>43.908200000000562</c:v>
                </c:pt>
                <c:pt idx="972">
                  <c:v>43.908300000000565</c:v>
                </c:pt>
                <c:pt idx="973">
                  <c:v>43.908400000000569</c:v>
                </c:pt>
                <c:pt idx="974">
                  <c:v>43.908500000000572</c:v>
                </c:pt>
                <c:pt idx="975">
                  <c:v>43.908600000000575</c:v>
                </c:pt>
                <c:pt idx="976">
                  <c:v>43.908700000000579</c:v>
                </c:pt>
                <c:pt idx="977">
                  <c:v>43.908800000000582</c:v>
                </c:pt>
                <c:pt idx="978">
                  <c:v>43.908900000000585</c:v>
                </c:pt>
                <c:pt idx="979">
                  <c:v>43.909000000000589</c:v>
                </c:pt>
                <c:pt idx="980">
                  <c:v>43.909100000000592</c:v>
                </c:pt>
                <c:pt idx="981">
                  <c:v>43.909200000000595</c:v>
                </c:pt>
                <c:pt idx="982">
                  <c:v>43.909300000000599</c:v>
                </c:pt>
                <c:pt idx="983">
                  <c:v>43.909400000000602</c:v>
                </c:pt>
                <c:pt idx="984">
                  <c:v>43.909500000000605</c:v>
                </c:pt>
                <c:pt idx="985">
                  <c:v>43.909600000000609</c:v>
                </c:pt>
                <c:pt idx="986">
                  <c:v>43.909700000000612</c:v>
                </c:pt>
                <c:pt idx="987">
                  <c:v>43.909800000000615</c:v>
                </c:pt>
                <c:pt idx="988">
                  <c:v>43.909900000000619</c:v>
                </c:pt>
                <c:pt idx="989">
                  <c:v>43.910000000000622</c:v>
                </c:pt>
                <c:pt idx="990">
                  <c:v>43.910100000000625</c:v>
                </c:pt>
                <c:pt idx="991">
                  <c:v>43.910200000000629</c:v>
                </c:pt>
                <c:pt idx="992">
                  <c:v>43.910300000000632</c:v>
                </c:pt>
                <c:pt idx="993">
                  <c:v>43.910400000000635</c:v>
                </c:pt>
                <c:pt idx="994">
                  <c:v>43.910500000000638</c:v>
                </c:pt>
                <c:pt idx="995">
                  <c:v>43.910600000000642</c:v>
                </c:pt>
                <c:pt idx="996">
                  <c:v>43.910700000000645</c:v>
                </c:pt>
                <c:pt idx="997">
                  <c:v>43.910800000000648</c:v>
                </c:pt>
                <c:pt idx="998">
                  <c:v>43.910900000000652</c:v>
                </c:pt>
                <c:pt idx="999">
                  <c:v>43.911000000000655</c:v>
                </c:pt>
                <c:pt idx="1000">
                  <c:v>43.911100000000658</c:v>
                </c:pt>
              </c:numCache>
            </c:numRef>
          </c:xVal>
          <c:yVal>
            <c:numRef>
              <c:f>Calculs!$AE$4:$AE$1004</c:f>
              <c:numCache>
                <c:formatCode>0</c:formatCode>
                <c:ptCount val="1001"/>
                <c:pt idx="0">
                  <c:v>0</c:v>
                </c:pt>
                <c:pt idx="1">
                  <c:v>2.6452165658300903E-4</c:v>
                </c:pt>
                <c:pt idx="2">
                  <c:v>1.8747213115951592E-3</c:v>
                </c:pt>
                <c:pt idx="3">
                  <c:v>5.9861442544103249E-3</c:v>
                </c:pt>
                <c:pt idx="4">
                  <c:v>1.3276817814292706E-2</c:v>
                </c:pt>
                <c:pt idx="5">
                  <c:v>2.4425215615250705E-2</c:v>
                </c:pt>
                <c:pt idx="6">
                  <c:v>4.0110325488383718E-2</c:v>
                </c:pt>
                <c:pt idx="7">
                  <c:v>6.1011717008833427E-2</c:v>
                </c:pt>
                <c:pt idx="8">
                  <c:v>8.780960867822267E-2</c:v>
                </c:pt>
                <c:pt idx="9">
                  <c:v>0.12118493477305489</c:v>
                </c:pt>
                <c:pt idx="10">
                  <c:v>0.16181941187915372</c:v>
                </c:pt>
                <c:pt idx="11">
                  <c:v>0.21020066472836854</c:v>
                </c:pt>
                <c:pt idx="12">
                  <c:v>0.26642697690046763</c:v>
                </c:pt>
                <c:pt idx="13">
                  <c:v>0.33040022988535855</c:v>
                </c:pt>
                <c:pt idx="14">
                  <c:v>0.40201918266339187</c:v>
                </c:pt>
                <c:pt idx="15">
                  <c:v>0.48118095439903419</c:v>
                </c:pt>
                <c:pt idx="16">
                  <c:v>0.56778250976729483</c:v>
                </c:pt>
                <c:pt idx="17">
                  <c:v>0.66172066136732088</c:v>
                </c:pt>
                <c:pt idx="18">
                  <c:v>0.76289207213410049</c:v>
                </c:pt>
                <c:pt idx="19">
                  <c:v>0.87119325774803302</c:v>
                </c:pt>
                <c:pt idx="20">
                  <c:v>0.98652058904212536</c:v>
                </c:pt>
                <c:pt idx="21">
                  <c:v>1.1087702944065749</c:v>
                </c:pt>
                <c:pt idx="22">
                  <c:v>1.2378384621905032</c:v>
                </c:pt>
                <c:pt idx="23">
                  <c:v>1.3736210431006013</c:v>
                </c:pt>
                <c:pt idx="24">
                  <c:v>1.5160138525964557</c:v>
                </c:pt>
                <c:pt idx="25">
                  <c:v>1.6649125732823176</c:v>
                </c:pt>
                <c:pt idx="26">
                  <c:v>1.8202127572950877</c:v>
                </c:pt>
                <c:pt idx="27">
                  <c:v>1.9818359875719997</c:v>
                </c:pt>
                <c:pt idx="28">
                  <c:v>2.1497560753556342</c:v>
                </c:pt>
                <c:pt idx="29">
                  <c:v>2.3239729563518665</c:v>
                </c:pt>
                <c:pt idx="30">
                  <c:v>2.5044865494497888</c:v>
                </c:pt>
                <c:pt idx="31">
                  <c:v>2.6912967567064605</c:v>
                </c:pt>
                <c:pt idx="32">
                  <c:v>2.8844034633318785</c:v>
                </c:pt>
                <c:pt idx="33">
                  <c:v>3.0838065376741701</c:v>
                </c:pt>
                <c:pt idx="34">
                  <c:v>3.2895058312050081</c:v>
                </c:pt>
                <c:pt idx="35">
                  <c:v>3.5015011785052468</c:v>
                </c:pt>
                <c:pt idx="36">
                  <c:v>3.719792397250782</c:v>
                </c:pt>
                <c:pt idx="37">
                  <c:v>3.9443792881986361</c:v>
                </c:pt>
                <c:pt idx="38">
                  <c:v>4.1752468393287172</c:v>
                </c:pt>
                <c:pt idx="39">
                  <c:v>4.4123795689231065</c:v>
                </c:pt>
                <c:pt idx="40">
                  <c:v>4.6557763237240888</c:v>
                </c:pt>
                <c:pt idx="41">
                  <c:v>4.905435943895438</c:v>
                </c:pt>
                <c:pt idx="42">
                  <c:v>5.1613572684116509</c:v>
                </c:pt>
                <c:pt idx="43">
                  <c:v>5.4235391343909862</c:v>
                </c:pt>
                <c:pt idx="44">
                  <c:v>5.6919803764712604</c:v>
                </c:pt>
                <c:pt idx="45">
                  <c:v>5.9666798262247145</c:v>
                </c:pt>
                <c:pt idx="46">
                  <c:v>6.24763631160865</c:v>
                </c:pt>
                <c:pt idx="47">
                  <c:v>6.5348486564488955</c:v>
                </c:pt>
                <c:pt idx="48">
                  <c:v>6.8283156799534481</c:v>
                </c:pt>
                <c:pt idx="49">
                  <c:v>7.1280361962539267</c:v>
                </c:pt>
                <c:pt idx="50">
                  <c:v>7.4340090139726867</c:v>
                </c:pt>
                <c:pt idx="51">
                  <c:v>7.7462329358136586</c:v>
                </c:pt>
                <c:pt idx="52">
                  <c:v>8.0647067581751717</c:v>
                </c:pt>
                <c:pt idx="53">
                  <c:v>8.3894292707831539</c:v>
                </c:pt>
                <c:pt idx="54">
                  <c:v>8.7203992563432813</c:v>
                </c:pt>
                <c:pt idx="55">
                  <c:v>9.0576154902107557</c:v>
                </c:pt>
                <c:pt idx="56">
                  <c:v>9.4010767400764976</c:v>
                </c:pt>
                <c:pt idx="57">
                  <c:v>9.7507817656686875</c:v>
                </c:pt>
                <c:pt idx="58">
                  <c:v>10.106729318468615</c:v>
                </c:pt>
                <c:pt idx="59">
                  <c:v>10.468918141439941</c:v>
                </c:pt>
                <c:pt idx="60">
                  <c:v>10.837346968770524</c:v>
                </c:pt>
                <c:pt idx="61">
                  <c:v>11.212014525626016</c:v>
                </c:pt>
                <c:pt idx="62">
                  <c:v>11.592919527914532</c:v>
                </c:pt>
                <c:pt idx="63">
                  <c:v>11.980060682061726</c:v>
                </c:pt>
                <c:pt idx="64">
                  <c:v>12.373436684795646</c:v>
                </c:pt>
                <c:pt idx="65">
                  <c:v>12.773046222940831</c:v>
                </c:pt>
                <c:pt idx="66">
                  <c:v>13.17888797322111</c:v>
                </c:pt>
                <c:pt idx="67">
                  <c:v>13.590960602070622</c:v>
                </c:pt>
                <c:pt idx="68">
                  <c:v>14.009262765452601</c:v>
                </c:pt>
                <c:pt idx="69">
                  <c:v>14.433793108685522</c:v>
                </c:pt>
                <c:pt idx="70">
                  <c:v>14.864550266276204</c:v>
                </c:pt>
                <c:pt idx="71">
                  <c:v>15.30153286175951</c:v>
                </c:pt>
                <c:pt idx="72">
                  <c:v>15.74473921039629</c:v>
                </c:pt>
                <c:pt idx="73">
                  <c:v>16.1941670215645</c:v>
                </c:pt>
                <c:pt idx="74">
                  <c:v>16.64981369531241</c:v>
                </c:pt>
                <c:pt idx="75">
                  <c:v>17.111676619232473</c:v>
                </c:pt>
                <c:pt idx="76">
                  <c:v>17.579753168334534</c:v>
                </c:pt>
                <c:pt idx="77">
                  <c:v>18.054040704924116</c:v>
                </c:pt>
                <c:pt idx="78">
                  <c:v>18.534536578485511</c:v>
                </c:pt>
                <c:pt idx="79">
                  <c:v>19.021238125569482</c:v>
                </c:pt>
                <c:pt idx="80">
                  <c:v>19.514142669685356</c:v>
                </c:pt>
                <c:pt idx="81">
                  <c:v>20.013247521197304</c:v>
                </c:pt>
                <c:pt idx="82">
                  <c:v>20.518549977224648</c:v>
                </c:pt>
                <c:pt idx="83">
                  <c:v>21.030047321545993</c:v>
                </c:pt>
                <c:pt idx="84">
                  <c:v>21.547736824507041</c:v>
                </c:pt>
                <c:pt idx="85">
                  <c:v>22.071615742931925</c:v>
                </c:pt>
                <c:pt idx="86">
                  <c:v>22.601681320037926</c:v>
                </c:pt>
                <c:pt idx="87">
                  <c:v>23.137930785353412</c:v>
                </c:pt>
                <c:pt idx="88">
                  <c:v>23.680361354638897</c:v>
                </c:pt>
                <c:pt idx="89">
                  <c:v>24.228970229811086</c:v>
                </c:pt>
                <c:pt idx="90">
                  <c:v>24.783754598869791</c:v>
                </c:pt>
                <c:pt idx="91">
                  <c:v>25.344711635827593</c:v>
                </c:pt>
                <c:pt idx="92">
                  <c:v>25.911838500642183</c:v>
                </c:pt>
                <c:pt idx="93">
                  <c:v>26.485132339151235</c:v>
                </c:pt>
                <c:pt idx="94">
                  <c:v>27.064590283009771</c:v>
                </c:pt>
                <c:pt idx="95">
                  <c:v>27.650209449629873</c:v>
                </c:pt>
                <c:pt idx="96">
                  <c:v>28.241986942122701</c:v>
                </c:pt>
                <c:pt idx="97">
                  <c:v>28.839919849242715</c:v>
                </c:pt>
                <c:pt idx="98">
                  <c:v>29.444005245334044</c:v>
                </c:pt>
                <c:pt idx="99">
                  <c:v>30.054240190278886</c:v>
                </c:pt>
                <c:pt idx="100">
                  <c:v>30.670621729447941</c:v>
                </c:pt>
                <c:pt idx="101">
                  <c:v>31.293146893652736</c:v>
                </c:pt>
                <c:pt idx="102">
                  <c:v>31.921812699099831</c:v>
                </c:pt>
                <c:pt idx="103">
                  <c:v>32.556616147346823</c:v>
                </c:pt>
                <c:pt idx="104">
                  <c:v>33.197554225260106</c:v>
                </c:pt>
                <c:pt idx="105">
                  <c:v>33.844623904974306</c:v>
                </c:pt>
                <c:pt idx="106">
                  <c:v>34.497822143853369</c:v>
                </c:pt>
                <c:pt idx="107">
                  <c:v>35.157145884453257</c:v>
                </c:pt>
                <c:pt idx="108">
                  <c:v>35.822592054486151</c:v>
                </c:pt>
                <c:pt idx="109">
                  <c:v>36.494157566786164</c:v>
                </c:pt>
                <c:pt idx="110">
                  <c:v>37.171839319276536</c:v>
                </c:pt>
                <c:pt idx="111">
                  <c:v>37.855634194938219</c:v>
                </c:pt>
                <c:pt idx="112">
                  <c:v>38.54553906177982</c:v>
                </c:pt>
                <c:pt idx="113">
                  <c:v>39.241550772808921</c:v>
                </c:pt>
                <c:pt idx="114">
                  <c:v>39.943666166004668</c:v>
                </c:pt>
                <c:pt idx="115">
                  <c:v>40.651882064291641</c:v>
                </c:pt>
                <c:pt idx="116">
                  <c:v>41.366195275514919</c:v>
                </c:pt>
                <c:pt idx="117">
                  <c:v>42.086602592416405</c:v>
                </c:pt>
                <c:pt idx="118">
                  <c:v>42.813100792612275</c:v>
                </c:pt>
                <c:pt idx="119">
                  <c:v>43.54568663857156</c:v>
                </c:pt>
                <c:pt idx="120">
                  <c:v>44.284356877595876</c:v>
                </c:pt>
                <c:pt idx="121">
                  <c:v>45.029108241800195</c:v>
                </c:pt>
                <c:pt idx="122">
                  <c:v>45.779937448094699</c:v>
                </c:pt>
                <c:pt idx="123">
                  <c:v>46.536841198167657</c:v>
                </c:pt>
                <c:pt idx="124">
                  <c:v>47.299816178469307</c:v>
                </c:pt>
                <c:pt idx="125">
                  <c:v>48.068859060196708</c:v>
                </c:pt>
                <c:pt idx="126">
                  <c:v>48.843966499279595</c:v>
                </c:pt>
                <c:pt idx="127">
                  <c:v>49.62513513636712</c:v>
                </c:pt>
                <c:pt idx="128">
                  <c:v>50.412361596815529</c:v>
                </c:pt>
                <c:pt idx="129">
                  <c:v>51.205641130075634</c:v>
                </c:pt>
                <c:pt idx="130">
                  <c:v>52.004966247768643</c:v>
                </c:pt>
                <c:pt idx="131">
                  <c:v>52.810328082516584</c:v>
                </c:pt>
                <c:pt idx="132">
                  <c:v>53.621717748106796</c:v>
                </c:pt>
                <c:pt idx="133">
                  <c:v>54.439126339525743</c:v>
                </c:pt>
                <c:pt idx="134">
                  <c:v>55.262544932993777</c:v>
                </c:pt>
                <c:pt idx="135">
                  <c:v>56.091964586000927</c:v>
                </c:pt>
                <c:pt idx="136">
                  <c:v>56.927376337343617</c:v>
                </c:pt>
                <c:pt idx="137">
                  <c:v>57.768771207162288</c:v>
                </c:pt>
                <c:pt idx="138">
                  <c:v>58.616140196979977</c:v>
                </c:pt>
                <c:pt idx="139">
                  <c:v>59.46947428974174</c:v>
                </c:pt>
                <c:pt idx="140">
                  <c:v>60.328764449854958</c:v>
                </c:pt>
                <c:pt idx="141">
                  <c:v>61.194001623230506</c:v>
                </c:pt>
                <c:pt idx="142">
                  <c:v>62.06517673732472</c:v>
                </c:pt>
                <c:pt idx="143">
                  <c:v>62.942280701182206</c:v>
                </c:pt>
                <c:pt idx="144">
                  <c:v>63.825304405479422</c:v>
                </c:pt>
                <c:pt idx="145">
                  <c:v>64.71423872256905</c:v>
                </c:pt>
                <c:pt idx="146">
                  <c:v>65.609074506525104</c:v>
                </c:pt>
                <c:pt idx="147">
                  <c:v>66.509802593188823</c:v>
                </c:pt>
                <c:pt idx="148">
                  <c:v>67.416413800215238</c:v>
                </c:pt>
                <c:pt idx="149">
                  <c:v>68.328898927120534</c:v>
                </c:pt>
                <c:pt idx="150">
                  <c:v>69.247248755330006</c:v>
                </c:pt>
                <c:pt idx="151">
                  <c:v>70.171454048226764</c:v>
                </c:pt>
                <c:pt idx="152">
                  <c:v>71.101505551201114</c:v>
                </c:pt>
                <c:pt idx="153">
                  <c:v>72.037393991700569</c:v>
                </c:pt>
                <c:pt idx="154">
                  <c:v>72.979110079280517</c:v>
                </c:pt>
                <c:pt idx="155">
                  <c:v>73.926644505655489</c:v>
                </c:pt>
                <c:pt idx="156">
                  <c:v>74.879987944751093</c:v>
                </c:pt>
                <c:pt idx="157">
                  <c:v>75.839131052756542</c:v>
                </c:pt>
                <c:pt idx="158">
                  <c:v>76.804064468177742</c:v>
                </c:pt>
                <c:pt idx="159">
                  <c:v>77.774778811890997</c:v>
                </c:pt>
                <c:pt idx="160">
                  <c:v>78.751264687197249</c:v>
                </c:pt>
                <c:pt idx="161">
                  <c:v>79.733512679876952</c:v>
                </c:pt>
                <c:pt idx="162">
                  <c:v>80.721513358245417</c:v>
                </c:pt>
                <c:pt idx="163">
                  <c:v>81.715257273208707</c:v>
                </c:pt>
                <c:pt idx="164">
                  <c:v>82.714734958320108</c:v>
                </c:pt>
                <c:pt idx="165">
                  <c:v>83.719936929837061</c:v>
                </c:pt>
                <c:pt idx="166">
                  <c:v>84.730853686778673</c:v>
                </c:pt>
                <c:pt idx="167">
                  <c:v>85.74747571098365</c:v>
                </c:pt>
                <c:pt idx="168">
                  <c:v>86.769793467168739</c:v>
                </c:pt>
                <c:pt idx="169">
                  <c:v>87.797797402987726</c:v>
                </c:pt>
                <c:pt idx="170">
                  <c:v>88.831477949090768</c:v>
                </c:pt>
                <c:pt idx="171">
                  <c:v>89.870825519184336</c:v>
                </c:pt>
                <c:pt idx="172">
                  <c:v>90.915830510091496</c:v>
                </c:pt>
                <c:pt idx="173">
                  <c:v>91.966483301812701</c:v>
                </c:pt>
                <c:pt idx="174">
                  <c:v>93.022774257586988</c:v>
                </c:pt>
                <c:pt idx="175">
                  <c:v>94.084693723953635</c:v>
                </c:pt>
                <c:pt idx="176">
                  <c:v>95.152232030814204</c:v>
                </c:pt>
                <c:pt idx="177">
                  <c:v>96.225379491495033</c:v>
                </c:pt>
                <c:pt idx="178">
                  <c:v>97.304126402810084</c:v>
                </c:pt>
                <c:pt idx="179">
                  <c:v>98.388463045124269</c:v>
                </c:pt>
                <c:pt idx="180">
                  <c:v>99.478379682417099</c:v>
                </c:pt>
                <c:pt idx="181">
                  <c:v>100.57386656234674</c:v>
                </c:pt>
                <c:pt idx="182">
                  <c:v>101.67491391631442</c:v>
                </c:pt>
                <c:pt idx="183">
                  <c:v>102.78151195952928</c:v>
                </c:pt>
                <c:pt idx="184">
                  <c:v>103.89365089107352</c:v>
                </c:pt>
                <c:pt idx="185">
                  <c:v>105.01132089396792</c:v>
                </c:pt>
                <c:pt idx="186">
                  <c:v>106.13451213523769</c:v>
                </c:pt>
                <c:pt idx="187">
                  <c:v>107.26321476597873</c:v>
                </c:pt>
                <c:pt idx="188">
                  <c:v>108.39741892142416</c:v>
                </c:pt>
                <c:pt idx="189">
                  <c:v>109.53711472101122</c:v>
                </c:pt>
                <c:pt idx="190">
                  <c:v>110.68229226844845</c:v>
                </c:pt>
                <c:pt idx="191">
                  <c:v>111.83294165178324</c:v>
                </c:pt>
                <c:pt idx="192">
                  <c:v>112.9890529434697</c:v>
                </c:pt>
                <c:pt idx="193">
                  <c:v>114.15061620043674</c:v>
                </c:pt>
                <c:pt idx="194">
                  <c:v>115.31762146415659</c:v>
                </c:pt>
                <c:pt idx="195">
                  <c:v>116.49005876071348</c:v>
                </c:pt>
                <c:pt idx="196">
                  <c:v>117.66791810087275</c:v>
                </c:pt>
                <c:pt idx="197">
                  <c:v>118.85118948015013</c:v>
                </c:pt>
                <c:pt idx="198">
                  <c:v>120.03986287888128</c:v>
                </c:pt>
                <c:pt idx="199">
                  <c:v>121.2339282622918</c:v>
                </c:pt>
                <c:pt idx="200">
                  <c:v>122.43337558056723</c:v>
                </c:pt>
                <c:pt idx="201">
                  <c:v>123.63819476892355</c:v>
                </c:pt>
                <c:pt idx="202">
                  <c:v>124.84837574767781</c:v>
                </c:pt>
                <c:pt idx="203">
                  <c:v>126.06390842231899</c:v>
                </c:pt>
                <c:pt idx="204">
                  <c:v>127.28478268357927</c:v>
                </c:pt>
                <c:pt idx="205">
                  <c:v>128.51098840750535</c:v>
                </c:pt>
                <c:pt idx="206">
                  <c:v>129.74251512626549</c:v>
                </c:pt>
                <c:pt idx="207">
                  <c:v>130.97935169872864</c:v>
                </c:pt>
                <c:pt idx="208">
                  <c:v>132.22148663954596</c:v>
                </c:pt>
                <c:pt idx="209">
                  <c:v>133.46890844846675</c:v>
                </c:pt>
                <c:pt idx="210">
                  <c:v>134.7216056104229</c:v>
                </c:pt>
                <c:pt idx="211">
                  <c:v>135.97956659561365</c:v>
                </c:pt>
                <c:pt idx="212">
                  <c:v>137.24277985959051</c:v>
                </c:pt>
                <c:pt idx="213">
                  <c:v>138.51123384334235</c:v>
                </c:pt>
                <c:pt idx="214">
                  <c:v>139.78491697338069</c:v>
                </c:pt>
                <c:pt idx="215">
                  <c:v>141.0638176618252</c:v>
                </c:pt>
                <c:pt idx="216">
                  <c:v>142.34792430648938</c:v>
                </c:pt>
                <c:pt idx="217">
                  <c:v>143.63722529096634</c:v>
                </c:pt>
                <c:pt idx="218">
                  <c:v>144.93170898471493</c:v>
                </c:pt>
                <c:pt idx="219">
                  <c:v>146.23136374314575</c:v>
                </c:pt>
                <c:pt idx="220">
                  <c:v>147.53617790770755</c:v>
                </c:pt>
                <c:pt idx="221">
                  <c:v>148.84613980597379</c:v>
                </c:pt>
                <c:pt idx="222">
                  <c:v>150.16123775172917</c:v>
                </c:pt>
                <c:pt idx="223">
                  <c:v>151.48146004505645</c:v>
                </c:pt>
                <c:pt idx="224">
                  <c:v>152.80679497242335</c:v>
                </c:pt>
                <c:pt idx="225">
                  <c:v>154.13723080676965</c:v>
                </c:pt>
                <c:pt idx="226">
                  <c:v>155.47275580759438</c:v>
                </c:pt>
                <c:pt idx="227">
                  <c:v>156.81335822104313</c:v>
                </c:pt>
                <c:pt idx="228">
                  <c:v>158.15902627999543</c:v>
                </c:pt>
                <c:pt idx="229">
                  <c:v>159.5097482041524</c:v>
                </c:pt>
                <c:pt idx="230">
                  <c:v>160.86551220012439</c:v>
                </c:pt>
                <c:pt idx="231">
                  <c:v>162.22630646151876</c:v>
                </c:pt>
                <c:pt idx="232">
                  <c:v>163.5921191690278</c:v>
                </c:pt>
                <c:pt idx="233">
                  <c:v>164.96293849051671</c:v>
                </c:pt>
                <c:pt idx="234">
                  <c:v>166.33875258111166</c:v>
                </c:pt>
                <c:pt idx="235">
                  <c:v>167.71954958328806</c:v>
                </c:pt>
                <c:pt idx="236">
                  <c:v>169.10531762695871</c:v>
                </c:pt>
                <c:pt idx="237">
                  <c:v>170.49604482956232</c:v>
                </c:pt>
                <c:pt idx="238">
                  <c:v>171.89171929615185</c:v>
                </c:pt>
                <c:pt idx="239">
                  <c:v>173.29232911948304</c:v>
                </c:pt>
                <c:pt idx="240">
                  <c:v>174.69786238010306</c:v>
                </c:pt>
                <c:pt idx="241">
                  <c:v>176.1083071464391</c:v>
                </c:pt>
                <c:pt idx="242">
                  <c:v>177.52365033978674</c:v>
                </c:pt>
                <c:pt idx="243">
                  <c:v>178.94387659867462</c:v>
                </c:pt>
                <c:pt idx="244">
                  <c:v>180.36896941347234</c:v>
                </c:pt>
                <c:pt idx="245">
                  <c:v>181.79891226164392</c:v>
                </c:pt>
                <c:pt idx="246">
                  <c:v>183.23368860788108</c:v>
                </c:pt>
                <c:pt idx="247">
                  <c:v>184.6732819042364</c:v>
                </c:pt>
                <c:pt idx="248">
                  <c:v>186.11767559025643</c:v>
                </c:pt>
                <c:pt idx="249">
                  <c:v>187.56685309311473</c:v>
                </c:pt>
                <c:pt idx="250">
                  <c:v>189.0207978277449</c:v>
                </c:pt>
                <c:pt idx="251">
                  <c:v>190.47949319697344</c:v>
                </c:pt>
                <c:pt idx="252">
                  <c:v>191.94292259165258</c:v>
                </c:pt>
                <c:pt idx="253">
                  <c:v>193.41106939079299</c:v>
                </c:pt>
                <c:pt idx="254">
                  <c:v>194.88391696169643</c:v>
                </c:pt>
                <c:pt idx="255">
                  <c:v>196.36144866008826</c:v>
                </c:pt>
                <c:pt idx="256">
                  <c:v>197.84364783024986</c:v>
                </c:pt>
                <c:pt idx="257">
                  <c:v>199.330497805151</c:v>
                </c:pt>
                <c:pt idx="258">
                  <c:v>200.82198190658195</c:v>
                </c:pt>
                <c:pt idx="259">
                  <c:v>202.31808344528565</c:v>
                </c:pt>
                <c:pt idx="260">
                  <c:v>203.8187857210896</c:v>
                </c:pt>
                <c:pt idx="261">
                  <c:v>205.3240720230377</c:v>
                </c:pt>
                <c:pt idx="262">
                  <c:v>206.83392562952199</c:v>
                </c:pt>
                <c:pt idx="263">
                  <c:v>208.34832980841406</c:v>
                </c:pt>
                <c:pt idx="264">
                  <c:v>209.86726781719665</c:v>
                </c:pt>
                <c:pt idx="265">
                  <c:v>211.39072290309468</c:v>
                </c:pt>
                <c:pt idx="266">
                  <c:v>212.91867830320658</c:v>
                </c:pt>
                <c:pt idx="267">
                  <c:v>214.45111724463501</c:v>
                </c:pt>
                <c:pt idx="268">
                  <c:v>215.9880229446178</c:v>
                </c:pt>
                <c:pt idx="269">
                  <c:v>217.52937861065845</c:v>
                </c:pt>
                <c:pt idx="270">
                  <c:v>219.07516744065666</c:v>
                </c:pt>
                <c:pt idx="271">
                  <c:v>220.62537262303846</c:v>
                </c:pt>
                <c:pt idx="272">
                  <c:v>222.1799773368864</c:v>
                </c:pt>
                <c:pt idx="273">
                  <c:v>223.73896475206939</c:v>
                </c:pt>
                <c:pt idx="274">
                  <c:v>225.30231802937243</c:v>
                </c:pt>
                <c:pt idx="275">
                  <c:v>226.87002032062603</c:v>
                </c:pt>
                <c:pt idx="276">
                  <c:v>228.44205476883556</c:v>
                </c:pt>
                <c:pt idx="277">
                  <c:v>230.0184045083104</c:v>
                </c:pt>
                <c:pt idx="278">
                  <c:v>231.59905266479277</c:v>
                </c:pt>
                <c:pt idx="279">
                  <c:v>233.18398235558641</c:v>
                </c:pt>
                <c:pt idx="280">
                  <c:v>234.77317668968504</c:v>
                </c:pt>
                <c:pt idx="281">
                  <c:v>236.36661876790069</c:v>
                </c:pt>
                <c:pt idx="282">
                  <c:v>237.96429168299159</c:v>
                </c:pt>
                <c:pt idx="283">
                  <c:v>239.56617851979001</c:v>
                </c:pt>
                <c:pt idx="284">
                  <c:v>241.17226368396624</c:v>
                </c:pt>
                <c:pt idx="285">
                  <c:v>242.78253423125224</c:v>
                </c:pt>
                <c:pt idx="286">
                  <c:v>244.39697853914555</c:v>
                </c:pt>
                <c:pt idx="287">
                  <c:v>246.01558497812849</c:v>
                </c:pt>
                <c:pt idx="288">
                  <c:v>247.63834191174709</c:v>
                </c:pt>
                <c:pt idx="289">
                  <c:v>249.26523769668998</c:v>
                </c:pt>
                <c:pt idx="290">
                  <c:v>250.89626068286705</c:v>
                </c:pt>
                <c:pt idx="291">
                  <c:v>252.53139921348813</c:v>
                </c:pt>
                <c:pt idx="292">
                  <c:v>254.17064162514157</c:v>
                </c:pt>
                <c:pt idx="293">
                  <c:v>255.81397624787272</c:v>
                </c:pt>
                <c:pt idx="294">
                  <c:v>257.46139140526225</c:v>
                </c:pt>
                <c:pt idx="295">
                  <c:v>259.11287541450451</c:v>
                </c:pt>
                <c:pt idx="296">
                  <c:v>260.76841658648567</c:v>
                </c:pt>
                <c:pt idx="297">
                  <c:v>262.4280032258618</c:v>
                </c:pt>
                <c:pt idx="298">
                  <c:v>264.09162363113694</c:v>
                </c:pt>
                <c:pt idx="299">
                  <c:v>265.75926609474089</c:v>
                </c:pt>
                <c:pt idx="300">
                  <c:v>267.430918903107</c:v>
                </c:pt>
                <c:pt idx="301">
                  <c:v>269.10657033674994</c:v>
                </c:pt>
                <c:pt idx="302">
                  <c:v>270.78620867034311</c:v>
                </c:pt>
                <c:pt idx="303">
                  <c:v>272.46982217279623</c:v>
                </c:pt>
                <c:pt idx="304">
                  <c:v>274.15739910733254</c:v>
                </c:pt>
                <c:pt idx="305">
                  <c:v>275.84892773156616</c:v>
                </c:pt>
                <c:pt idx="306">
                  <c:v>277.54439629757923</c:v>
                </c:pt>
                <c:pt idx="307">
                  <c:v>279.24379305199864</c:v>
                </c:pt>
                <c:pt idx="308">
                  <c:v>280.94710623607318</c:v>
                </c:pt>
                <c:pt idx="309">
                  <c:v>282.65432408575009</c:v>
                </c:pt>
                <c:pt idx="310">
                  <c:v>284.36543483175183</c:v>
                </c:pt>
                <c:pt idx="311">
                  <c:v>286.08042669965243</c:v>
                </c:pt>
                <c:pt idx="312">
                  <c:v>287.79928790995405</c:v>
                </c:pt>
                <c:pt idx="313">
                  <c:v>289.522006678163</c:v>
                </c:pt>
                <c:pt idx="314">
                  <c:v>291.24857121486593</c:v>
                </c:pt>
                <c:pt idx="315">
                  <c:v>292.97896972580583</c:v>
                </c:pt>
                <c:pt idx="316">
                  <c:v>294.7131904119579</c:v>
                </c:pt>
                <c:pt idx="317">
                  <c:v>296.45122146960512</c:v>
                </c:pt>
                <c:pt idx="318">
                  <c:v>298.19305109041386</c:v>
                </c:pt>
                <c:pt idx="319">
                  <c:v>299.93866746150945</c:v>
                </c:pt>
                <c:pt idx="320">
                  <c:v>301.6880587655512</c:v>
                </c:pt>
                <c:pt idx="321">
                  <c:v>303.44121318080778</c:v>
                </c:pt>
                <c:pt idx="322">
                  <c:v>305.19811888123195</c:v>
                </c:pt>
                <c:pt idx="323">
                  <c:v>306.95876403653568</c:v>
                </c:pt>
                <c:pt idx="324">
                  <c:v>308.72313681226461</c:v>
                </c:pt>
                <c:pt idx="325">
                  <c:v>310.49122536987278</c:v>
                </c:pt>
                <c:pt idx="326">
                  <c:v>312.26301794817738</c:v>
                </c:pt>
                <c:pt idx="327">
                  <c:v>314.03850294482965</c:v>
                </c:pt>
                <c:pt idx="328">
                  <c:v>315.81766883499949</c:v>
                </c:pt>
                <c:pt idx="329">
                  <c:v>317.60050409004316</c:v>
                </c:pt>
                <c:pt idx="330">
                  <c:v>319.38699717757447</c:v>
                </c:pt>
                <c:pt idx="331">
                  <c:v>321.17713656153592</c:v>
                </c:pt>
                <c:pt idx="332">
                  <c:v>322.97091070226986</c:v>
                </c:pt>
                <c:pt idx="333">
                  <c:v>324.76830805658915</c:v>
                </c:pt>
                <c:pt idx="334">
                  <c:v>326.56931707784804</c:v>
                </c:pt>
                <c:pt idx="335">
                  <c:v>328.37392621601259</c:v>
                </c:pt>
                <c:pt idx="336">
                  <c:v>330.18212391773108</c:v>
                </c:pt>
                <c:pt idx="337">
                  <c:v>331.99389862640425</c:v>
                </c:pt>
                <c:pt idx="338">
                  <c:v>333.80923878225536</c:v>
                </c:pt>
                <c:pt idx="339">
                  <c:v>335.62813282240023</c:v>
                </c:pt>
                <c:pt idx="340">
                  <c:v>337.45056918091677</c:v>
                </c:pt>
                <c:pt idx="341">
                  <c:v>339.27653628891471</c:v>
                </c:pt>
                <c:pt idx="342">
                  <c:v>341.10602257460494</c:v>
                </c:pt>
                <c:pt idx="343">
                  <c:v>342.93901646336877</c:v>
                </c:pt>
                <c:pt idx="344">
                  <c:v>344.77550637782707</c:v>
                </c:pt>
                <c:pt idx="345">
                  <c:v>346.61548073790919</c:v>
                </c:pt>
                <c:pt idx="346">
                  <c:v>348.45892796092164</c:v>
                </c:pt>
                <c:pt idx="347">
                  <c:v>350.30583646161665</c:v>
                </c:pt>
                <c:pt idx="348">
                  <c:v>352.15619465226058</c:v>
                </c:pt>
                <c:pt idx="349">
                  <c:v>354.0099909427023</c:v>
                </c:pt>
                <c:pt idx="350">
                  <c:v>355.867213740441</c:v>
                </c:pt>
                <c:pt idx="351">
                  <c:v>357.72785145069423</c:v>
                </c:pt>
                <c:pt idx="352">
                  <c:v>359.59189247646555</c:v>
                </c:pt>
                <c:pt idx="353">
                  <c:v>361.45932521861204</c:v>
                </c:pt>
                <c:pt idx="354">
                  <c:v>363.33013807591158</c:v>
                </c:pt>
                <c:pt idx="355">
                  <c:v>365.20431944513012</c:v>
                </c:pt>
                <c:pt idx="356">
                  <c:v>367.08185772108862</c:v>
                </c:pt>
                <c:pt idx="357">
                  <c:v>368.96274129672975</c:v>
                </c:pt>
                <c:pt idx="358">
                  <c:v>370.84695856318461</c:v>
                </c:pt>
                <c:pt idx="359">
                  <c:v>372.73449790983915</c:v>
                </c:pt>
                <c:pt idx="360">
                  <c:v>374.62534772440029</c:v>
                </c:pt>
                <c:pt idx="361">
                  <c:v>376.51949639296203</c:v>
                </c:pt>
                <c:pt idx="362">
                  <c:v>378.41693230007138</c:v>
                </c:pt>
                <c:pt idx="363">
                  <c:v>380.31764382879396</c:v>
                </c:pt>
                <c:pt idx="364">
                  <c:v>382.22161936077941</c:v>
                </c:pt>
                <c:pt idx="365">
                  <c:v>384.12884727632678</c:v>
                </c:pt>
                <c:pt idx="366">
                  <c:v>386.03931801186673</c:v>
                </c:pt>
                <c:pt idx="367">
                  <c:v>387.95302611756597</c:v>
                </c:pt>
                <c:pt idx="368">
                  <c:v>389.86996819926765</c:v>
                </c:pt>
                <c:pt idx="369">
                  <c:v>391.79014086028548</c:v>
                </c:pt>
                <c:pt idx="370">
                  <c:v>393.71354070142161</c:v>
                </c:pt>
                <c:pt idx="371">
                  <c:v>395.64016432098452</c:v>
                </c:pt>
                <c:pt idx="372">
                  <c:v>397.57000831480684</c:v>
                </c:pt>
                <c:pt idx="373">
                  <c:v>399.5030692762632</c:v>
                </c:pt>
                <c:pt idx="374">
                  <c:v>401.43934379628814</c:v>
                </c:pt>
                <c:pt idx="375">
                  <c:v>403.3788284633938</c:v>
                </c:pt>
                <c:pt idx="376">
                  <c:v>405.32151986368785</c:v>
                </c:pt>
                <c:pt idx="377">
                  <c:v>407.26741458089123</c:v>
                </c:pt>
                <c:pt idx="378">
                  <c:v>409.21650919635601</c:v>
                </c:pt>
                <c:pt idx="379">
                  <c:v>411.16880028908321</c:v>
                </c:pt>
                <c:pt idx="380">
                  <c:v>413.12428443574049</c:v>
                </c:pt>
                <c:pt idx="381">
                  <c:v>415.0829559923427</c:v>
                </c:pt>
                <c:pt idx="382">
                  <c:v>417.04480487585607</c:v>
                </c:pt>
                <c:pt idx="383">
                  <c:v>419.00981878342748</c:v>
                </c:pt>
                <c:pt idx="384">
                  <c:v>420.97798541171511</c:v>
                </c:pt>
                <c:pt idx="385">
                  <c:v>422.94929245695658</c:v>
                </c:pt>
                <c:pt idx="386">
                  <c:v>424.92372761503646</c:v>
                </c:pt>
                <c:pt idx="387">
                  <c:v>426.90127858155398</c:v>
                </c:pt>
                <c:pt idx="388">
                  <c:v>428.88193305189014</c:v>
                </c:pt>
                <c:pt idx="389">
                  <c:v>430.86567872127489</c:v>
                </c:pt>
                <c:pt idx="390">
                  <c:v>432.85250328485381</c:v>
                </c:pt>
                <c:pt idx="391">
                  <c:v>434.84239443775476</c:v>
                </c:pt>
                <c:pt idx="392">
                  <c:v>436.8353398751542</c:v>
                </c:pt>
                <c:pt idx="393">
                  <c:v>438.8313272923433</c:v>
                </c:pt>
                <c:pt idx="394">
                  <c:v>440.83034438479376</c:v>
                </c:pt>
                <c:pt idx="395">
                  <c:v>442.83237884822353</c:v>
                </c:pt>
                <c:pt idx="396">
                  <c:v>444.83741837866211</c:v>
                </c:pt>
                <c:pt idx="397">
                  <c:v>446.84545067251565</c:v>
                </c:pt>
                <c:pt idx="398">
                  <c:v>448.85646342663205</c:v>
                </c:pt>
                <c:pt idx="399">
                  <c:v>450.87044433836542</c:v>
                </c:pt>
                <c:pt idx="400">
                  <c:v>452.8873811056406</c:v>
                </c:pt>
                <c:pt idx="401">
                  <c:v>454.90725968822932</c:v>
                </c:pt>
                <c:pt idx="402">
                  <c:v>456.93006256909257</c:v>
                </c:pt>
                <c:pt idx="403">
                  <c:v>458.95577049414044</c:v>
                </c:pt>
                <c:pt idx="404">
                  <c:v>460.98436421195134</c:v>
                </c:pt>
                <c:pt idx="405">
                  <c:v>463.01582447388915</c:v>
                </c:pt>
                <c:pt idx="406">
                  <c:v>465.05013203421964</c:v>
                </c:pt>
                <c:pt idx="407">
                  <c:v>467.08726765022607</c:v>
                </c:pt>
                <c:pt idx="408">
                  <c:v>469.12721208232455</c:v>
                </c:pt>
                <c:pt idx="409">
                  <c:v>471.16994609417878</c:v>
                </c:pt>
                <c:pt idx="410">
                  <c:v>473.21545045281391</c:v>
                </c:pt>
                <c:pt idx="411">
                  <c:v>475.26369633858195</c:v>
                </c:pt>
                <c:pt idx="412">
                  <c:v>477.31463575605761</c:v>
                </c:pt>
                <c:pt idx="413">
                  <c:v>479.36821113031192</c:v>
                </c:pt>
                <c:pt idx="414">
                  <c:v>481.42436490253147</c:v>
                </c:pt>
                <c:pt idx="415">
                  <c:v>483.48303953068074</c:v>
                </c:pt>
                <c:pt idx="416">
                  <c:v>485.54417749015965</c:v>
                </c:pt>
                <c:pt idx="417">
                  <c:v>487.60772127445665</c:v>
                </c:pt>
                <c:pt idx="418">
                  <c:v>489.67361339579639</c:v>
                </c:pt>
                <c:pt idx="419">
                  <c:v>491.74179638578323</c:v>
                </c:pt>
                <c:pt idx="420">
                  <c:v>493.8122073494377</c:v>
                </c:pt>
                <c:pt idx="421">
                  <c:v>495.88477252045203</c:v>
                </c:pt>
                <c:pt idx="422">
                  <c:v>497.95941271297528</c:v>
                </c:pt>
                <c:pt idx="423">
                  <c:v>500.03604877241941</c:v>
                </c:pt>
                <c:pt idx="424">
                  <c:v>502.11460157657513</c:v>
                </c:pt>
                <c:pt idx="425">
                  <c:v>504.19499203671876</c:v>
                </c:pt>
                <c:pt idx="426">
                  <c:v>506.27714109870954</c:v>
                </c:pt>
                <c:pt idx="427">
                  <c:v>508.36096974407781</c:v>
                </c:pt>
                <c:pt idx="428">
                  <c:v>510.4463989911041</c:v>
                </c:pt>
                <c:pt idx="429">
                  <c:v>512.53334989588848</c:v>
                </c:pt>
                <c:pt idx="430">
                  <c:v>514.62174355341108</c:v>
                </c:pt>
                <c:pt idx="431">
                  <c:v>516.71150109858274</c:v>
                </c:pt>
                <c:pt idx="432">
                  <c:v>518.80253494759711</c:v>
                </c:pt>
                <c:pt idx="433">
                  <c:v>520.89474004312854</c:v>
                </c:pt>
                <c:pt idx="434">
                  <c:v>522.98800262533712</c:v>
                </c:pt>
                <c:pt idx="435">
                  <c:v>525.08220899953869</c:v>
                </c:pt>
                <c:pt idx="436">
                  <c:v>527.17724553826235</c:v>
                </c:pt>
                <c:pt idx="437">
                  <c:v>529.27299868328885</c:v>
                </c:pt>
                <c:pt idx="438">
                  <c:v>531.3693549476684</c:v>
                </c:pt>
                <c:pt idx="439">
                  <c:v>533.46620091771956</c:v>
                </c:pt>
                <c:pt idx="440">
                  <c:v>535.56342325500782</c:v>
                </c:pt>
                <c:pt idx="441">
                  <c:v>537.66090869830407</c:v>
                </c:pt>
                <c:pt idx="442">
                  <c:v>539.75854937853421</c:v>
                </c:pt>
                <c:pt idx="443">
                  <c:v>541.85624813009497</c:v>
                </c:pt>
                <c:pt idx="444">
                  <c:v>543.95391317157726</c:v>
                </c:pt>
                <c:pt idx="445">
                  <c:v>546.05145278975772</c:v>
                </c:pt>
                <c:pt idx="446">
                  <c:v>548.14877534081086</c:v>
                </c:pt>
                <c:pt idx="447">
                  <c:v>550.24578925150854</c:v>
                </c:pt>
                <c:pt idx="448">
                  <c:v>552.34240302040587</c:v>
                </c:pt>
                <c:pt idx="449">
                  <c:v>554.43852521901385</c:v>
                </c:pt>
                <c:pt idx="450">
                  <c:v>556.53406449295949</c:v>
                </c:pt>
                <c:pt idx="451">
                  <c:v>558.62892956313169</c:v>
                </c:pt>
                <c:pt idx="452">
                  <c:v>560.7230292268149</c:v>
                </c:pt>
                <c:pt idx="453">
                  <c:v>562.81627995837891</c:v>
                </c:pt>
                <c:pt idx="454">
                  <c:v>564.90861350330624</c:v>
                </c:pt>
                <c:pt idx="455">
                  <c:v>566.99996926593099</c:v>
                </c:pt>
                <c:pt idx="456">
                  <c:v>569.09028670349437</c:v>
                </c:pt>
                <c:pt idx="457">
                  <c:v>571.17950532657562</c:v>
                </c:pt>
                <c:pt idx="458">
                  <c:v>573.26756469951738</c:v>
                </c:pt>
                <c:pt idx="459">
                  <c:v>575.35440444084577</c:v>
                </c:pt>
                <c:pt idx="460">
                  <c:v>577.43996422368423</c:v>
                </c:pt>
                <c:pt idx="461">
                  <c:v>579.52419061104365</c:v>
                </c:pt>
                <c:pt idx="462">
                  <c:v>581.60704388455167</c:v>
                </c:pt>
                <c:pt idx="463">
                  <c:v>583.68849119682238</c:v>
                </c:pt>
                <c:pt idx="464">
                  <c:v>585.76849973021842</c:v>
                </c:pt>
                <c:pt idx="465">
                  <c:v>587.84703669692669</c:v>
                </c:pt>
                <c:pt idx="466">
                  <c:v>589.9240635989438</c:v>
                </c:pt>
                <c:pt idx="467">
                  <c:v>591.99953049374324</c:v>
                </c:pt>
                <c:pt idx="468">
                  <c:v>594.07331782923995</c:v>
                </c:pt>
                <c:pt idx="469">
                  <c:v>596.14525655520231</c:v>
                </c:pt>
                <c:pt idx="470">
                  <c:v>598.21527030284733</c:v>
                </c:pt>
                <c:pt idx="471">
                  <c:v>600.28336099070248</c:v>
                </c:pt>
                <c:pt idx="472">
                  <c:v>602.34953053304366</c:v>
                </c:pt>
                <c:pt idx="473">
                  <c:v>604.41378083990742</c:v>
                </c:pt>
                <c:pt idx="474">
                  <c:v>606.47611381710271</c:v>
                </c:pt>
                <c:pt idx="475">
                  <c:v>608.53653136622324</c:v>
                </c:pt>
                <c:pt idx="476">
                  <c:v>610.59503538465958</c:v>
                </c:pt>
                <c:pt idx="477">
                  <c:v>612.6516277656109</c:v>
                </c:pt>
                <c:pt idx="478">
                  <c:v>614.70631039809712</c:v>
                </c:pt>
                <c:pt idx="479">
                  <c:v>616.75908516697064</c:v>
                </c:pt>
                <c:pt idx="480">
                  <c:v>618.80995395292825</c:v>
                </c:pt>
                <c:pt idx="481">
                  <c:v>620.858918632523</c:v>
                </c:pt>
                <c:pt idx="482">
                  <c:v>622.90598107817584</c:v>
                </c:pt>
                <c:pt idx="483">
                  <c:v>624.95114315818751</c:v>
                </c:pt>
                <c:pt idx="484">
                  <c:v>626.99440673675008</c:v>
                </c:pt>
                <c:pt idx="485">
                  <c:v>629.03577367395849</c:v>
                </c:pt>
                <c:pt idx="486">
                  <c:v>631.07524582582255</c:v>
                </c:pt>
                <c:pt idx="487">
                  <c:v>633.112825044278</c:v>
                </c:pt>
                <c:pt idx="488">
                  <c:v>635.14851317719831</c:v>
                </c:pt>
                <c:pt idx="489">
                  <c:v>637.18231206840608</c:v>
                </c:pt>
                <c:pt idx="490">
                  <c:v>639.21422355768459</c:v>
                </c:pt>
                <c:pt idx="491">
                  <c:v>641.24424948078899</c:v>
                </c:pt>
                <c:pt idx="492">
                  <c:v>643.27239166945765</c:v>
                </c:pt>
                <c:pt idx="493">
                  <c:v>645.29865195142361</c:v>
                </c:pt>
                <c:pt idx="494">
                  <c:v>647.32303215042589</c:v>
                </c:pt>
                <c:pt idx="495">
                  <c:v>649.34553408622037</c:v>
                </c:pt>
                <c:pt idx="496">
                  <c:v>651.36615957459139</c:v>
                </c:pt>
                <c:pt idx="497">
                  <c:v>653.38491042736268</c:v>
                </c:pt>
                <c:pt idx="498">
                  <c:v>655.40178845240848</c:v>
                </c:pt>
                <c:pt idx="499">
                  <c:v>657.41679545366469</c:v>
                </c:pt>
                <c:pt idx="500">
                  <c:v>659.42993323113956</c:v>
                </c:pt>
                <c:pt idx="501">
                  <c:v>679.45864285105449</c:v>
                </c:pt>
                <c:pt idx="502">
                  <c:v>699.30158929699337</c:v>
                </c:pt>
                <c:pt idx="503">
                  <c:v>718.9605331966626</c:v>
                </c:pt>
                <c:pt idx="504">
                  <c:v>738.43719740646941</c:v>
                </c:pt>
                <c:pt idx="505">
                  <c:v>757.7332680446591</c:v>
                </c:pt>
                <c:pt idx="506">
                  <c:v>776.85039548846339</c:v>
                </c:pt>
                <c:pt idx="507">
                  <c:v>795.79019533675955</c:v>
                </c:pt>
                <c:pt idx="508">
                  <c:v>814.5542493396656</c:v>
                </c:pt>
                <c:pt idx="509">
                  <c:v>833.14410629642953</c:v>
                </c:pt>
                <c:pt idx="510">
                  <c:v>851.56128292290373</c:v>
                </c:pt>
                <c:pt idx="511">
                  <c:v>869.80726468983664</c:v>
                </c:pt>
                <c:pt idx="512">
                  <c:v>887.88350663315282</c:v>
                </c:pt>
                <c:pt idx="513">
                  <c:v>905.79143413734016</c:v>
                </c:pt>
                <c:pt idx="514">
                  <c:v>923.5324436930099</c:v>
                </c:pt>
                <c:pt idx="515">
                  <c:v>941.10790362964497</c:v>
                </c:pt>
                <c:pt idx="516">
                  <c:v>958.51915482450727</c:v>
                </c:pt>
                <c:pt idx="517">
                  <c:v>975.76751138862846</c:v>
                </c:pt>
                <c:pt idx="518">
                  <c:v>992.8542613307684</c:v>
                </c:pt>
                <c:pt idx="519">
                  <c:v>1009.7806672001849</c:v>
                </c:pt>
                <c:pt idx="520">
                  <c:v>1026.5479667090199</c:v>
                </c:pt>
                <c:pt idx="521">
                  <c:v>1043.1573733350735</c:v>
                </c:pt>
                <c:pt idx="522">
                  <c:v>1059.6100769057011</c:v>
                </c:pt>
                <c:pt idx="523">
                  <c:v>1075.9072441635383</c:v>
                </c:pt>
                <c:pt idx="524">
                  <c:v>1092.0500193147252</c:v>
                </c:pt>
                <c:pt idx="525">
                  <c:v>1108.039524560277</c:v>
                </c:pt>
                <c:pt idx="526">
                  <c:v>1123.8768606112135</c:v>
                </c:pt>
                <c:pt idx="527">
                  <c:v>1139.5631071880414</c:v>
                </c:pt>
                <c:pt idx="528">
                  <c:v>1155.0993235051512</c:v>
                </c:pt>
                <c:pt idx="529">
                  <c:v>1170.4865487406726</c:v>
                </c:pt>
                <c:pt idx="530">
                  <c:v>1185.7258024923026</c:v>
                </c:pt>
                <c:pt idx="531">
                  <c:v>1200.8180852196092</c:v>
                </c:pt>
                <c:pt idx="532">
                  <c:v>1215.7643786732806</c:v>
                </c:pt>
                <c:pt idx="533">
                  <c:v>1230.5656463117814</c:v>
                </c:pt>
                <c:pt idx="534">
                  <c:v>1245.2228337058505</c:v>
                </c:pt>
                <c:pt idx="535">
                  <c:v>1259.7368689312618</c:v>
                </c:pt>
                <c:pt idx="536">
                  <c:v>1274.1086629502522</c:v>
                </c:pt>
                <c:pt idx="537">
                  <c:v>1288.3391099820017</c:v>
                </c:pt>
                <c:pt idx="538">
                  <c:v>1302.4290878625372</c:v>
                </c:pt>
                <c:pt idx="539">
                  <c:v>1316.3794583944191</c:v>
                </c:pt>
                <c:pt idx="540">
                  <c:v>1330.19106768655</c:v>
                </c:pt>
                <c:pt idx="541">
                  <c:v>1343.8647464844371</c:v>
                </c:pt>
                <c:pt idx="542">
                  <c:v>1357.4013104912228</c:v>
                </c:pt>
                <c:pt idx="543">
                  <c:v>1370.8015606797901</c:v>
                </c:pt>
                <c:pt idx="544">
                  <c:v>1384.0662835962312</c:v>
                </c:pt>
                <c:pt idx="545">
                  <c:v>1397.1962516549647</c:v>
                </c:pt>
                <c:pt idx="546">
                  <c:v>1410.192223425769</c:v>
                </c:pt>
                <c:pt idx="547">
                  <c:v>1423.0549439129927</c:v>
                </c:pt>
                <c:pt idx="548">
                  <c:v>1435.7851448271922</c:v>
                </c:pt>
                <c:pt idx="549">
                  <c:v>1448.3835448494387</c:v>
                </c:pt>
                <c:pt idx="550">
                  <c:v>1460.8508498885255</c:v>
                </c:pt>
                <c:pt idx="551">
                  <c:v>1473.1877533312982</c:v>
                </c:pt>
                <c:pt idx="552">
                  <c:v>1485.3949362863254</c:v>
                </c:pt>
                <c:pt idx="553">
                  <c:v>1497.4730678211158</c:v>
                </c:pt>
                <c:pt idx="554">
                  <c:v>1509.42280519308</c:v>
                </c:pt>
                <c:pt idx="555">
                  <c:v>1521.2447940744337</c:v>
                </c:pt>
                <c:pt idx="556">
                  <c:v>1532.9396687712235</c:v>
                </c:pt>
                <c:pt idx="557">
                  <c:v>1544.5080524366583</c:v>
                </c:pt>
                <c:pt idx="558">
                  <c:v>1555.9505572789146</c:v>
                </c:pt>
                <c:pt idx="559">
                  <c:v>1567.2677847635878</c:v>
                </c:pt>
                <c:pt idx="560">
                  <c:v>1578.4603258109453</c:v>
                </c:pt>
                <c:pt idx="561">
                  <c:v>1589.5287609881395</c:v>
                </c:pt>
                <c:pt idx="562">
                  <c:v>1600.4736606965303</c:v>
                </c:pt>
                <c:pt idx="563">
                  <c:v>1611.2955853542603</c:v>
                </c:pt>
                <c:pt idx="564">
                  <c:v>1621.9950855742245</c:v>
                </c:pt>
                <c:pt idx="565">
                  <c:v>1632.572702337568</c:v>
                </c:pt>
                <c:pt idx="566">
                  <c:v>1643.0289671628439</c:v>
                </c:pt>
                <c:pt idx="567">
                  <c:v>1653.364402270955</c:v>
                </c:pt>
                <c:pt idx="568">
                  <c:v>1663.5795207460053</c:v>
                </c:pt>
                <c:pt idx="569">
                  <c:v>1673.6748266921752</c:v>
                </c:pt>
                <c:pt idx="570">
                  <c:v>1683.6508153867373</c:v>
                </c:pt>
                <c:pt idx="571">
                  <c:v>1693.5079734293229</c:v>
                </c:pt>
                <c:pt idx="572">
                  <c:v>1703.2467788875456</c:v>
                </c:pt>
                <c:pt idx="573">
                  <c:v>1712.8677014390867</c:v>
                </c:pt>
                <c:pt idx="574">
                  <c:v>1722.3712025103412</c:v>
                </c:pt>
                <c:pt idx="575">
                  <c:v>1731.7577354117245</c:v>
                </c:pt>
                <c:pt idx="576">
                  <c:v>1741.0277454697316</c:v>
                </c:pt>
                <c:pt idx="577">
                  <c:v>1750.1816701558414</c:v>
                </c:pt>
                <c:pt idx="578">
                  <c:v>1759.2199392123559</c:v>
                </c:pt>
                <c:pt idx="579">
                  <c:v>1768.1429747752591</c:v>
                </c:pt>
                <c:pt idx="580">
                  <c:v>1776.9511914941804</c:v>
                </c:pt>
                <c:pt idx="581">
                  <c:v>1785.6449966495445</c:v>
                </c:pt>
                <c:pt idx="582">
                  <c:v>1794.2247902669851</c:v>
                </c:pt>
                <c:pt idx="583">
                  <c:v>1802.6909652291019</c:v>
                </c:pt>
                <c:pt idx="584">
                  <c:v>1811.0439073846348</c:v>
                </c:pt>
                <c:pt idx="585">
                  <c:v>1819.2839956551279</c:v>
                </c:pt>
                <c:pt idx="586">
                  <c:v>1827.4116021391567</c:v>
                </c:pt>
                <c:pt idx="587">
                  <c:v>1835.4270922141861</c:v>
                </c:pt>
                <c:pt idx="588">
                  <c:v>1843.3308246361282</c:v>
                </c:pt>
                <c:pt idx="589">
                  <c:v>1851.1231516366663</c:v>
                </c:pt>
                <c:pt idx="590">
                  <c:v>1858.8044190184105</c:v>
                </c:pt>
                <c:pt idx="591">
                  <c:v>1866.3749662479484</c:v>
                </c:pt>
                <c:pt idx="592">
                  <c:v>1873.8351265468527</c:v>
                </c:pt>
                <c:pt idx="593">
                  <c:v>1881.1852269807093</c:v>
                </c:pt>
                <c:pt idx="594">
                  <c:v>1888.4255885462233</c:v>
                </c:pt>
                <c:pt idx="595">
                  <c:v>1895.5565262564655</c:v>
                </c:pt>
                <c:pt idx="596">
                  <c:v>1902.5783492243158</c:v>
                </c:pt>
                <c:pt idx="597">
                  <c:v>1909.491360744162</c:v>
                </c:pt>
                <c:pt idx="598">
                  <c:v>1916.2958583719114</c:v>
                </c:pt>
                <c:pt idx="599">
                  <c:v>1922.9921340033732</c:v>
                </c:pt>
                <c:pt idx="600">
                  <c:v>1929.580473951065</c:v>
                </c:pt>
                <c:pt idx="601">
                  <c:v>1936.0611590195028</c:v>
                </c:pt>
                <c:pt idx="602">
                  <c:v>1942.4344645790288</c:v>
                </c:pt>
                <c:pt idx="603">
                  <c:v>1948.700660638232</c:v>
                </c:pt>
                <c:pt idx="604">
                  <c:v>1954.8600119150187</c:v>
                </c:pt>
                <c:pt idx="605">
                  <c:v>1960.9127779063892</c:v>
                </c:pt>
                <c:pt idx="606">
                  <c:v>1966.8592129569754</c:v>
                </c:pt>
                <c:pt idx="607">
                  <c:v>1972.6995663263981</c:v>
                </c:pt>
                <c:pt idx="608">
                  <c:v>1978.4340822554989</c:v>
                </c:pt>
                <c:pt idx="609">
                  <c:v>1984.063000031507</c:v>
                </c:pt>
                <c:pt idx="610">
                  <c:v>1989.5865540521991</c:v>
                </c:pt>
                <c:pt idx="611">
                  <c:v>1995.0049738891107</c:v>
                </c:pt>
                <c:pt idx="612">
                  <c:v>2000.3184843498634</c:v>
                </c:pt>
                <c:pt idx="613">
                  <c:v>2005.527305539666</c:v>
                </c:pt>
                <c:pt idx="614">
                  <c:v>2010.6316529220587</c:v>
                </c:pt>
                <c:pt idx="615">
                  <c:v>2015.6317373789605</c:v>
                </c:pt>
                <c:pt idx="616">
                  <c:v>2020.5277652700927</c:v>
                </c:pt>
                <c:pt idx="617">
                  <c:v>2025.3199384918439</c:v>
                </c:pt>
                <c:pt idx="618">
                  <c:v>2030.0084545356508</c:v>
                </c:pt>
                <c:pt idx="619">
                  <c:v>2034.5935065459676</c:v>
                </c:pt>
                <c:pt idx="620">
                  <c:v>2039.0752833779029</c:v>
                </c:pt>
                <c:pt idx="621">
                  <c:v>2043.4539696546028</c:v>
                </c:pt>
                <c:pt idx="622">
                  <c:v>2047.7297458244623</c:v>
                </c:pt>
                <c:pt idx="623">
                  <c:v>2051.9027882182522</c:v>
                </c:pt>
                <c:pt idx="624">
                  <c:v>2055.9732691062527</c:v>
                </c:pt>
                <c:pt idx="625">
                  <c:v>2059.9413567554825</c:v>
                </c:pt>
                <c:pt idx="626">
                  <c:v>2063.8072154871247</c:v>
                </c:pt>
                <c:pt idx="627">
                  <c:v>2067.5710057342499</c:v>
                </c:pt>
                <c:pt idx="628">
                  <c:v>2071.2328840999371</c:v>
                </c:pt>
                <c:pt idx="629">
                  <c:v>2074.7930034159081</c:v>
                </c:pt>
                <c:pt idx="630">
                  <c:v>2078.2515128017835</c:v>
                </c:pt>
                <c:pt idx="631">
                  <c:v>2081.6085577250801</c:v>
                </c:pt>
                <c:pt idx="632">
                  <c:v>2084.8642800620705</c:v>
                </c:pt>
                <c:pt idx="633">
                  <c:v>2088.0188181596327</c:v>
                </c:pt>
                <c:pt idx="634">
                  <c:v>2091.0723068982138</c:v>
                </c:pt>
                <c:pt idx="635">
                  <c:v>2094.0248777560496</c:v>
                </c:pt>
                <c:pt idx="636">
                  <c:v>2096.8766588747658</c:v>
                </c:pt>
                <c:pt idx="637">
                  <c:v>2099.6277751265097</c:v>
                </c:pt>
                <c:pt idx="638">
                  <c:v>2102.2783481827464</c:v>
                </c:pt>
                <c:pt idx="639">
                  <c:v>2104.8284965848666</c:v>
                </c:pt>
                <c:pt idx="640">
                  <c:v>2107.2783358167435</c:v>
                </c:pt>
                <c:pt idx="641">
                  <c:v>2109.6279783793884</c:v>
                </c:pt>
                <c:pt idx="642">
                  <c:v>2111.8775338678374</c:v>
                </c:pt>
                <c:pt idx="643">
                  <c:v>2114.0271090504102</c:v>
                </c:pt>
                <c:pt idx="644">
                  <c:v>2116.0768079504733</c:v>
                </c:pt>
                <c:pt idx="645">
                  <c:v>2118.0267319308314</c:v>
                </c:pt>
                <c:pt idx="646">
                  <c:v>2119.8769797808623</c:v>
                </c:pt>
                <c:pt idx="647">
                  <c:v>2121.6276478065024</c:v>
                </c:pt>
                <c:pt idx="648">
                  <c:v>2123.2788299231752</c:v>
                </c:pt>
                <c:pt idx="649">
                  <c:v>2124.830617751737</c:v>
                </c:pt>
                <c:pt idx="650">
                  <c:v>2126.2831007175014</c:v>
                </c:pt>
                <c:pt idx="651">
                  <c:v>2127.6363661523783</c:v>
                </c:pt>
                <c:pt idx="652">
                  <c:v>2128.8904994001441</c:v>
                </c:pt>
                <c:pt idx="653">
                  <c:v>2130.0455839248311</c:v>
                </c:pt>
                <c:pt idx="654">
                  <c:v>2131.1017014221975</c:v>
                </c:pt>
                <c:pt idx="655">
                  <c:v>2132.0589319342125</c:v>
                </c:pt>
                <c:pt idx="656">
                  <c:v>2132.917353966458</c:v>
                </c:pt>
                <c:pt idx="657">
                  <c:v>2133.677044608311</c:v>
                </c:pt>
                <c:pt idx="658">
                  <c:v>2134.3380796557508</c:v>
                </c:pt>
                <c:pt idx="659">
                  <c:v>2134.9005337365847</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AEC5-4DB4-900B-02E79FDE56EC}"/>
            </c:ext>
          </c:extLst>
        </c:ser>
        <c:ser>
          <c:idx val="6"/>
          <c:order val="6"/>
          <c:tx>
            <c:strRef>
              <c:f>Trajecto!$B$106</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Trajecto!$B$157</c:f>
              <c:numCache>
                <c:formatCode>General</c:formatCode>
                <c:ptCount val="1"/>
                <c:pt idx="0">
                  <c:v>5.25</c:v>
                </c:pt>
              </c:numCache>
            </c:numRef>
          </c:xVal>
          <c:yVal>
            <c:numRef>
              <c:f>Trajecto!$C$155</c:f>
              <c:numCache>
                <c:formatCode>0</c:formatCode>
                <c:ptCount val="1"/>
                <c:pt idx="0">
                  <c:v>1067.6822402189348</c:v>
                </c:pt>
              </c:numCache>
            </c:numRef>
          </c:yVal>
          <c:smooth val="0"/>
          <c:extLst>
            <c:ext xmlns:c16="http://schemas.microsoft.com/office/drawing/2014/chart" uri="{C3380CC4-5D6E-409C-BE32-E72D297353CC}">
              <c16:uniqueId val="{00000008-AEC5-4DB4-900B-02E79FDE56EC}"/>
            </c:ext>
          </c:extLst>
        </c:ser>
        <c:ser>
          <c:idx val="7"/>
          <c:order val="7"/>
          <c:tx>
            <c:strRef>
              <c:f>Trajecto!$B$107</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32.650000000000134</c:v>
                </c:pt>
              </c:numCache>
            </c:numRef>
          </c:xVal>
          <c:yVal>
            <c:numRef>
              <c:f>Trajecto!$C$156</c:f>
              <c:numCache>
                <c:formatCode>0</c:formatCode>
                <c:ptCount val="1"/>
                <c:pt idx="0">
                  <c:v>1068.1183180247847</c:v>
                </c:pt>
              </c:numCache>
            </c:numRef>
          </c:yVal>
          <c:smooth val="0"/>
          <c:extLst>
            <c:ext xmlns:c16="http://schemas.microsoft.com/office/drawing/2014/chart" uri="{C3380CC4-5D6E-409C-BE32-E72D297353CC}">
              <c16:uniqueId val="{00000009-AEC5-4DB4-900B-02E79FDE56EC}"/>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Trajecto!$B$112</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43.900100000000293</c:v>
                </c:pt>
                <c:pt idx="891">
                  <c:v>43.900200000000297</c:v>
                </c:pt>
                <c:pt idx="892">
                  <c:v>43.9003000000003</c:v>
                </c:pt>
                <c:pt idx="893">
                  <c:v>43.900400000000303</c:v>
                </c:pt>
                <c:pt idx="894">
                  <c:v>43.900500000000306</c:v>
                </c:pt>
                <c:pt idx="895">
                  <c:v>43.90060000000031</c:v>
                </c:pt>
                <c:pt idx="896">
                  <c:v>43.900700000000313</c:v>
                </c:pt>
                <c:pt idx="897">
                  <c:v>43.900800000000316</c:v>
                </c:pt>
                <c:pt idx="898">
                  <c:v>43.90090000000032</c:v>
                </c:pt>
                <c:pt idx="899">
                  <c:v>43.901000000000323</c:v>
                </c:pt>
                <c:pt idx="900">
                  <c:v>43.901100000000326</c:v>
                </c:pt>
                <c:pt idx="901">
                  <c:v>43.90120000000033</c:v>
                </c:pt>
                <c:pt idx="902">
                  <c:v>43.901300000000333</c:v>
                </c:pt>
                <c:pt idx="903">
                  <c:v>43.901400000000336</c:v>
                </c:pt>
                <c:pt idx="904">
                  <c:v>43.90150000000034</c:v>
                </c:pt>
                <c:pt idx="905">
                  <c:v>43.901600000000343</c:v>
                </c:pt>
                <c:pt idx="906">
                  <c:v>43.901700000000346</c:v>
                </c:pt>
                <c:pt idx="907">
                  <c:v>43.90180000000035</c:v>
                </c:pt>
                <c:pt idx="908">
                  <c:v>43.901900000000353</c:v>
                </c:pt>
                <c:pt idx="909">
                  <c:v>43.902000000000356</c:v>
                </c:pt>
                <c:pt idx="910">
                  <c:v>43.90210000000036</c:v>
                </c:pt>
                <c:pt idx="911">
                  <c:v>43.902200000000363</c:v>
                </c:pt>
                <c:pt idx="912">
                  <c:v>43.902300000000366</c:v>
                </c:pt>
                <c:pt idx="913">
                  <c:v>43.90240000000037</c:v>
                </c:pt>
                <c:pt idx="914">
                  <c:v>43.902500000000373</c:v>
                </c:pt>
                <c:pt idx="915">
                  <c:v>43.902600000000376</c:v>
                </c:pt>
                <c:pt idx="916">
                  <c:v>43.90270000000038</c:v>
                </c:pt>
                <c:pt idx="917">
                  <c:v>43.902800000000383</c:v>
                </c:pt>
                <c:pt idx="918">
                  <c:v>43.902900000000386</c:v>
                </c:pt>
                <c:pt idx="919">
                  <c:v>43.903000000000389</c:v>
                </c:pt>
                <c:pt idx="920">
                  <c:v>43.903100000000393</c:v>
                </c:pt>
                <c:pt idx="921">
                  <c:v>43.903200000000396</c:v>
                </c:pt>
                <c:pt idx="922">
                  <c:v>43.903300000000399</c:v>
                </c:pt>
                <c:pt idx="923">
                  <c:v>43.903400000000403</c:v>
                </c:pt>
                <c:pt idx="924">
                  <c:v>43.903500000000406</c:v>
                </c:pt>
                <c:pt idx="925">
                  <c:v>43.903600000000409</c:v>
                </c:pt>
                <c:pt idx="926">
                  <c:v>43.903700000000413</c:v>
                </c:pt>
                <c:pt idx="927">
                  <c:v>43.903800000000416</c:v>
                </c:pt>
                <c:pt idx="928">
                  <c:v>43.903900000000419</c:v>
                </c:pt>
                <c:pt idx="929">
                  <c:v>43.904000000000423</c:v>
                </c:pt>
                <c:pt idx="930">
                  <c:v>43.904100000000426</c:v>
                </c:pt>
                <c:pt idx="931">
                  <c:v>43.904200000000429</c:v>
                </c:pt>
                <c:pt idx="932">
                  <c:v>43.904300000000433</c:v>
                </c:pt>
                <c:pt idx="933">
                  <c:v>43.904400000000436</c:v>
                </c:pt>
                <c:pt idx="934">
                  <c:v>43.904500000000439</c:v>
                </c:pt>
                <c:pt idx="935">
                  <c:v>43.904600000000443</c:v>
                </c:pt>
                <c:pt idx="936">
                  <c:v>43.904700000000446</c:v>
                </c:pt>
                <c:pt idx="937">
                  <c:v>43.904800000000449</c:v>
                </c:pt>
                <c:pt idx="938">
                  <c:v>43.904900000000453</c:v>
                </c:pt>
                <c:pt idx="939">
                  <c:v>43.905000000000456</c:v>
                </c:pt>
                <c:pt idx="940">
                  <c:v>43.905100000000459</c:v>
                </c:pt>
                <c:pt idx="941">
                  <c:v>43.905200000000463</c:v>
                </c:pt>
                <c:pt idx="942">
                  <c:v>43.905300000000466</c:v>
                </c:pt>
                <c:pt idx="943">
                  <c:v>43.905400000000469</c:v>
                </c:pt>
                <c:pt idx="944">
                  <c:v>43.905500000000472</c:v>
                </c:pt>
                <c:pt idx="945">
                  <c:v>43.905600000000476</c:v>
                </c:pt>
                <c:pt idx="946">
                  <c:v>43.905700000000479</c:v>
                </c:pt>
                <c:pt idx="947">
                  <c:v>43.905800000000482</c:v>
                </c:pt>
                <c:pt idx="948">
                  <c:v>43.905900000000486</c:v>
                </c:pt>
                <c:pt idx="949">
                  <c:v>43.906000000000489</c:v>
                </c:pt>
                <c:pt idx="950">
                  <c:v>43.906100000000492</c:v>
                </c:pt>
                <c:pt idx="951">
                  <c:v>43.906200000000496</c:v>
                </c:pt>
                <c:pt idx="952">
                  <c:v>43.906300000000499</c:v>
                </c:pt>
                <c:pt idx="953">
                  <c:v>43.906400000000502</c:v>
                </c:pt>
                <c:pt idx="954">
                  <c:v>43.906500000000506</c:v>
                </c:pt>
                <c:pt idx="955">
                  <c:v>43.906600000000509</c:v>
                </c:pt>
                <c:pt idx="956">
                  <c:v>43.906700000000512</c:v>
                </c:pt>
                <c:pt idx="957">
                  <c:v>43.906800000000516</c:v>
                </c:pt>
                <c:pt idx="958">
                  <c:v>43.906900000000519</c:v>
                </c:pt>
                <c:pt idx="959">
                  <c:v>43.907000000000522</c:v>
                </c:pt>
                <c:pt idx="960">
                  <c:v>43.907100000000526</c:v>
                </c:pt>
                <c:pt idx="961">
                  <c:v>43.907200000000529</c:v>
                </c:pt>
                <c:pt idx="962">
                  <c:v>43.907300000000532</c:v>
                </c:pt>
                <c:pt idx="963">
                  <c:v>43.907400000000536</c:v>
                </c:pt>
                <c:pt idx="964">
                  <c:v>43.907500000000539</c:v>
                </c:pt>
                <c:pt idx="965">
                  <c:v>43.907600000000542</c:v>
                </c:pt>
                <c:pt idx="966">
                  <c:v>43.907700000000546</c:v>
                </c:pt>
                <c:pt idx="967">
                  <c:v>43.907800000000549</c:v>
                </c:pt>
                <c:pt idx="968">
                  <c:v>43.907900000000552</c:v>
                </c:pt>
                <c:pt idx="969">
                  <c:v>43.908000000000555</c:v>
                </c:pt>
                <c:pt idx="970">
                  <c:v>43.908100000000559</c:v>
                </c:pt>
                <c:pt idx="971">
                  <c:v>43.908200000000562</c:v>
                </c:pt>
                <c:pt idx="972">
                  <c:v>43.908300000000565</c:v>
                </c:pt>
                <c:pt idx="973">
                  <c:v>43.908400000000569</c:v>
                </c:pt>
                <c:pt idx="974">
                  <c:v>43.908500000000572</c:v>
                </c:pt>
                <c:pt idx="975">
                  <c:v>43.908600000000575</c:v>
                </c:pt>
                <c:pt idx="976">
                  <c:v>43.908700000000579</c:v>
                </c:pt>
                <c:pt idx="977">
                  <c:v>43.908800000000582</c:v>
                </c:pt>
                <c:pt idx="978">
                  <c:v>43.908900000000585</c:v>
                </c:pt>
                <c:pt idx="979">
                  <c:v>43.909000000000589</c:v>
                </c:pt>
                <c:pt idx="980">
                  <c:v>43.909100000000592</c:v>
                </c:pt>
                <c:pt idx="981">
                  <c:v>43.909200000000595</c:v>
                </c:pt>
                <c:pt idx="982">
                  <c:v>43.909300000000599</c:v>
                </c:pt>
                <c:pt idx="983">
                  <c:v>43.909400000000602</c:v>
                </c:pt>
                <c:pt idx="984">
                  <c:v>43.909500000000605</c:v>
                </c:pt>
                <c:pt idx="985">
                  <c:v>43.909600000000609</c:v>
                </c:pt>
                <c:pt idx="986">
                  <c:v>43.909700000000612</c:v>
                </c:pt>
                <c:pt idx="987">
                  <c:v>43.909800000000615</c:v>
                </c:pt>
                <c:pt idx="988">
                  <c:v>43.909900000000619</c:v>
                </c:pt>
                <c:pt idx="989">
                  <c:v>43.910000000000622</c:v>
                </c:pt>
                <c:pt idx="990">
                  <c:v>43.910100000000625</c:v>
                </c:pt>
                <c:pt idx="991">
                  <c:v>43.910200000000629</c:v>
                </c:pt>
                <c:pt idx="992">
                  <c:v>43.910300000000632</c:v>
                </c:pt>
                <c:pt idx="993">
                  <c:v>43.910400000000635</c:v>
                </c:pt>
                <c:pt idx="994">
                  <c:v>43.910500000000638</c:v>
                </c:pt>
                <c:pt idx="995">
                  <c:v>43.910600000000642</c:v>
                </c:pt>
                <c:pt idx="996">
                  <c:v>43.910700000000645</c:v>
                </c:pt>
                <c:pt idx="997">
                  <c:v>43.910800000000648</c:v>
                </c:pt>
                <c:pt idx="998">
                  <c:v>43.910900000000652</c:v>
                </c:pt>
                <c:pt idx="999">
                  <c:v>43.911000000000655</c:v>
                </c:pt>
                <c:pt idx="1000">
                  <c:v>43.911100000000658</c:v>
                </c:pt>
              </c:numCache>
            </c:numRef>
          </c:xVal>
          <c:yVal>
            <c:numRef>
              <c:f>Calculs!$Q$4:$Q$1004</c:f>
              <c:numCache>
                <c:formatCode>0.00</c:formatCode>
                <c:ptCount val="1001"/>
                <c:pt idx="0">
                  <c:v>0</c:v>
                </c:pt>
                <c:pt idx="1">
                  <c:v>214.70000000000002</c:v>
                </c:pt>
                <c:pt idx="2">
                  <c:v>451.48888888888888</c:v>
                </c:pt>
                <c:pt idx="3">
                  <c:v>549.66666666666663</c:v>
                </c:pt>
                <c:pt idx="4">
                  <c:v>647.84444444444443</c:v>
                </c:pt>
                <c:pt idx="5">
                  <c:v>746.02222222222224</c:v>
                </c:pt>
                <c:pt idx="6">
                  <c:v>844.2</c:v>
                </c:pt>
                <c:pt idx="7">
                  <c:v>942.37777777777774</c:v>
                </c:pt>
                <c:pt idx="8">
                  <c:v>1040.5555555555557</c:v>
                </c:pt>
                <c:pt idx="9">
                  <c:v>1138.7333333333331</c:v>
                </c:pt>
                <c:pt idx="10">
                  <c:v>1236.911111111111</c:v>
                </c:pt>
                <c:pt idx="11">
                  <c:v>1278.75</c:v>
                </c:pt>
                <c:pt idx="12">
                  <c:v>1264.25</c:v>
                </c:pt>
                <c:pt idx="13">
                  <c:v>1249.3214285714287</c:v>
                </c:pt>
                <c:pt idx="14">
                  <c:v>1233.9642857142858</c:v>
                </c:pt>
                <c:pt idx="15">
                  <c:v>1218.6071428571429</c:v>
                </c:pt>
                <c:pt idx="16">
                  <c:v>1203.25</c:v>
                </c:pt>
                <c:pt idx="17">
                  <c:v>1187.8928571428571</c:v>
                </c:pt>
                <c:pt idx="18">
                  <c:v>1172.5357142857142</c:v>
                </c:pt>
                <c:pt idx="19">
                  <c:v>1157.1785714285713</c:v>
                </c:pt>
                <c:pt idx="20">
                  <c:v>1141.8214285714284</c:v>
                </c:pt>
                <c:pt idx="21">
                  <c:v>1126.4642857142858</c:v>
                </c:pt>
                <c:pt idx="22">
                  <c:v>1111.1071428571427</c:v>
                </c:pt>
                <c:pt idx="23">
                  <c:v>1095.75</c:v>
                </c:pt>
                <c:pt idx="24">
                  <c:v>1080.3928571428571</c:v>
                </c:pt>
                <c:pt idx="25">
                  <c:v>1065.0357142857142</c:v>
                </c:pt>
                <c:pt idx="26">
                  <c:v>1049.6785714285713</c:v>
                </c:pt>
                <c:pt idx="27">
                  <c:v>1041.8333333333333</c:v>
                </c:pt>
                <c:pt idx="28">
                  <c:v>1041.5</c:v>
                </c:pt>
                <c:pt idx="29">
                  <c:v>1041.1666666666667</c:v>
                </c:pt>
                <c:pt idx="30">
                  <c:v>1040.8333333333333</c:v>
                </c:pt>
                <c:pt idx="31">
                  <c:v>1040.5</c:v>
                </c:pt>
                <c:pt idx="32">
                  <c:v>1040.1666666666667</c:v>
                </c:pt>
                <c:pt idx="33">
                  <c:v>1039.8333333333333</c:v>
                </c:pt>
                <c:pt idx="34">
                  <c:v>1039.5</c:v>
                </c:pt>
                <c:pt idx="35">
                  <c:v>1039.1666666666667</c:v>
                </c:pt>
                <c:pt idx="36">
                  <c:v>1038.8333333333333</c:v>
                </c:pt>
                <c:pt idx="37">
                  <c:v>1038.5</c:v>
                </c:pt>
                <c:pt idx="38">
                  <c:v>1038.1666666666667</c:v>
                </c:pt>
                <c:pt idx="39">
                  <c:v>1037.8333333333333</c:v>
                </c:pt>
                <c:pt idx="40">
                  <c:v>1037.5</c:v>
                </c:pt>
                <c:pt idx="41">
                  <c:v>1037.1666666666667</c:v>
                </c:pt>
                <c:pt idx="42">
                  <c:v>1036.8333333333333</c:v>
                </c:pt>
                <c:pt idx="43">
                  <c:v>1036.5</c:v>
                </c:pt>
                <c:pt idx="44">
                  <c:v>1036.1666666666667</c:v>
                </c:pt>
                <c:pt idx="45">
                  <c:v>1035.8333333333333</c:v>
                </c:pt>
                <c:pt idx="46">
                  <c:v>1035.5</c:v>
                </c:pt>
                <c:pt idx="47">
                  <c:v>1035.1666666666667</c:v>
                </c:pt>
                <c:pt idx="48">
                  <c:v>1034.8333333333333</c:v>
                </c:pt>
                <c:pt idx="49">
                  <c:v>1034.5</c:v>
                </c:pt>
                <c:pt idx="50">
                  <c:v>1034.1666666666667</c:v>
                </c:pt>
                <c:pt idx="51">
                  <c:v>1033.8333333333333</c:v>
                </c:pt>
                <c:pt idx="52">
                  <c:v>1033.5</c:v>
                </c:pt>
                <c:pt idx="53">
                  <c:v>1033.1666666666667</c:v>
                </c:pt>
                <c:pt idx="54">
                  <c:v>1032.8333333333333</c:v>
                </c:pt>
                <c:pt idx="55">
                  <c:v>1032.5</c:v>
                </c:pt>
                <c:pt idx="56">
                  <c:v>1032.1666666666667</c:v>
                </c:pt>
                <c:pt idx="57">
                  <c:v>1031.8333333333333</c:v>
                </c:pt>
                <c:pt idx="58">
                  <c:v>1031.5</c:v>
                </c:pt>
                <c:pt idx="59">
                  <c:v>1031.1666666666667</c:v>
                </c:pt>
                <c:pt idx="60">
                  <c:v>1030.8333333333333</c:v>
                </c:pt>
                <c:pt idx="61">
                  <c:v>1030.5</c:v>
                </c:pt>
                <c:pt idx="62">
                  <c:v>1030.1666666666667</c:v>
                </c:pt>
                <c:pt idx="63">
                  <c:v>1029.8333333333333</c:v>
                </c:pt>
                <c:pt idx="64">
                  <c:v>1029.5</c:v>
                </c:pt>
                <c:pt idx="65">
                  <c:v>1029.1666666666667</c:v>
                </c:pt>
                <c:pt idx="66">
                  <c:v>1028.8333333333333</c:v>
                </c:pt>
                <c:pt idx="67">
                  <c:v>1028.5</c:v>
                </c:pt>
                <c:pt idx="68">
                  <c:v>1028.1666666666667</c:v>
                </c:pt>
                <c:pt idx="69">
                  <c:v>1027.8333333333333</c:v>
                </c:pt>
                <c:pt idx="70">
                  <c:v>1027.5</c:v>
                </c:pt>
                <c:pt idx="71">
                  <c:v>1027.1666666666667</c:v>
                </c:pt>
                <c:pt idx="72">
                  <c:v>1026.7491228070176</c:v>
                </c:pt>
                <c:pt idx="73">
                  <c:v>1026.2473684210527</c:v>
                </c:pt>
                <c:pt idx="74">
                  <c:v>1025.7456140350878</c:v>
                </c:pt>
                <c:pt idx="75">
                  <c:v>1025.2438596491227</c:v>
                </c:pt>
                <c:pt idx="76">
                  <c:v>1024.7421052631578</c:v>
                </c:pt>
                <c:pt idx="77">
                  <c:v>1024.2403508771929</c:v>
                </c:pt>
                <c:pt idx="78">
                  <c:v>1023.738596491228</c:v>
                </c:pt>
                <c:pt idx="79">
                  <c:v>1023.2368421052631</c:v>
                </c:pt>
                <c:pt idx="80">
                  <c:v>1022.7350877192982</c:v>
                </c:pt>
                <c:pt idx="81">
                  <c:v>1022.2333333333333</c:v>
                </c:pt>
                <c:pt idx="82">
                  <c:v>1021.7315789473683</c:v>
                </c:pt>
                <c:pt idx="83">
                  <c:v>1021.2298245614035</c:v>
                </c:pt>
                <c:pt idx="84">
                  <c:v>1020.7280701754386</c:v>
                </c:pt>
                <c:pt idx="85">
                  <c:v>1020.2263157894737</c:v>
                </c:pt>
                <c:pt idx="86">
                  <c:v>1019.7245614035087</c:v>
                </c:pt>
                <c:pt idx="87">
                  <c:v>1019.2228070175438</c:v>
                </c:pt>
                <c:pt idx="88">
                  <c:v>1018.7210526315789</c:v>
                </c:pt>
                <c:pt idx="89">
                  <c:v>1018.219298245614</c:v>
                </c:pt>
                <c:pt idx="90">
                  <c:v>1017.7175438596491</c:v>
                </c:pt>
                <c:pt idx="91">
                  <c:v>1017.2157894736841</c:v>
                </c:pt>
                <c:pt idx="92">
                  <c:v>1016.7140350877193</c:v>
                </c:pt>
                <c:pt idx="93">
                  <c:v>1016.2122807017544</c:v>
                </c:pt>
                <c:pt idx="94">
                  <c:v>1015.7105263157895</c:v>
                </c:pt>
                <c:pt idx="95">
                  <c:v>1015.2087719298245</c:v>
                </c:pt>
                <c:pt idx="96">
                  <c:v>1014.7070175438596</c:v>
                </c:pt>
                <c:pt idx="97">
                  <c:v>1014.2052631578947</c:v>
                </c:pt>
                <c:pt idx="98">
                  <c:v>1013.7035087719298</c:v>
                </c:pt>
                <c:pt idx="99">
                  <c:v>1013.2017543859648</c:v>
                </c:pt>
                <c:pt idx="100">
                  <c:v>1012.6999999999999</c:v>
                </c:pt>
                <c:pt idx="101">
                  <c:v>1012.198245614035</c:v>
                </c:pt>
                <c:pt idx="102">
                  <c:v>1011.6964912280702</c:v>
                </c:pt>
                <c:pt idx="103">
                  <c:v>1011.1947368421052</c:v>
                </c:pt>
                <c:pt idx="104">
                  <c:v>1010.6929824561403</c:v>
                </c:pt>
                <c:pt idx="105">
                  <c:v>1010.1912280701754</c:v>
                </c:pt>
                <c:pt idx="106">
                  <c:v>1009.6894736842105</c:v>
                </c:pt>
                <c:pt idx="107">
                  <c:v>1009.1877192982456</c:v>
                </c:pt>
                <c:pt idx="108">
                  <c:v>1008.6859649122806</c:v>
                </c:pt>
                <c:pt idx="109">
                  <c:v>1008.1842105263157</c:v>
                </c:pt>
                <c:pt idx="110">
                  <c:v>1007.6824561403508</c:v>
                </c:pt>
                <c:pt idx="111">
                  <c:v>1007.180701754386</c:v>
                </c:pt>
                <c:pt idx="112">
                  <c:v>1006.6789473684209</c:v>
                </c:pt>
                <c:pt idx="113">
                  <c:v>1006.1771929824561</c:v>
                </c:pt>
                <c:pt idx="114">
                  <c:v>1005.6754385964912</c:v>
                </c:pt>
                <c:pt idx="115">
                  <c:v>1005.1736842105263</c:v>
                </c:pt>
                <c:pt idx="116">
                  <c:v>1004.6719298245613</c:v>
                </c:pt>
                <c:pt idx="117">
                  <c:v>1004.1701754385964</c:v>
                </c:pt>
                <c:pt idx="118">
                  <c:v>1003.6684210526315</c:v>
                </c:pt>
                <c:pt idx="119">
                  <c:v>1003.1666666666666</c:v>
                </c:pt>
                <c:pt idx="120">
                  <c:v>1002.6649122807017</c:v>
                </c:pt>
                <c:pt idx="121">
                  <c:v>1002.1631578947367</c:v>
                </c:pt>
                <c:pt idx="122">
                  <c:v>1001.6614035087719</c:v>
                </c:pt>
                <c:pt idx="123">
                  <c:v>1001.159649122807</c:v>
                </c:pt>
                <c:pt idx="124">
                  <c:v>1000.6578947368421</c:v>
                </c:pt>
                <c:pt idx="125">
                  <c:v>1000.1561403508771</c:v>
                </c:pt>
                <c:pt idx="126">
                  <c:v>999.65438596491219</c:v>
                </c:pt>
                <c:pt idx="127">
                  <c:v>999.15263157894731</c:v>
                </c:pt>
                <c:pt idx="128">
                  <c:v>998.65087719298242</c:v>
                </c:pt>
                <c:pt idx="129">
                  <c:v>997.77012987012972</c:v>
                </c:pt>
                <c:pt idx="130">
                  <c:v>996.51038961038944</c:v>
                </c:pt>
                <c:pt idx="131">
                  <c:v>995.25064935064916</c:v>
                </c:pt>
                <c:pt idx="132">
                  <c:v>993.99090909090899</c:v>
                </c:pt>
                <c:pt idx="133">
                  <c:v>992.7311688311687</c:v>
                </c:pt>
                <c:pt idx="134">
                  <c:v>991.47142857142842</c:v>
                </c:pt>
                <c:pt idx="135">
                  <c:v>990.21168831168814</c:v>
                </c:pt>
                <c:pt idx="136">
                  <c:v>988.95194805194785</c:v>
                </c:pt>
                <c:pt idx="137">
                  <c:v>987.69220779220768</c:v>
                </c:pt>
                <c:pt idx="138">
                  <c:v>986.4324675324674</c:v>
                </c:pt>
                <c:pt idx="139">
                  <c:v>985.17272727272712</c:v>
                </c:pt>
                <c:pt idx="140">
                  <c:v>983.91298701298683</c:v>
                </c:pt>
                <c:pt idx="141">
                  <c:v>982.65324675324655</c:v>
                </c:pt>
                <c:pt idx="142">
                  <c:v>981.39350649350638</c:v>
                </c:pt>
                <c:pt idx="143">
                  <c:v>980.1337662337661</c:v>
                </c:pt>
                <c:pt idx="144">
                  <c:v>978.87402597402581</c:v>
                </c:pt>
                <c:pt idx="145">
                  <c:v>977.61428571428553</c:v>
                </c:pt>
                <c:pt idx="146">
                  <c:v>976.35454545454525</c:v>
                </c:pt>
                <c:pt idx="147">
                  <c:v>975.09480519480508</c:v>
                </c:pt>
                <c:pt idx="148">
                  <c:v>973.83506493506479</c:v>
                </c:pt>
                <c:pt idx="149">
                  <c:v>972.57532467532451</c:v>
                </c:pt>
                <c:pt idx="150">
                  <c:v>971.31558441558423</c:v>
                </c:pt>
                <c:pt idx="151">
                  <c:v>970.05584415584394</c:v>
                </c:pt>
                <c:pt idx="152">
                  <c:v>968.79610389610366</c:v>
                </c:pt>
                <c:pt idx="153">
                  <c:v>967.53636363636349</c:v>
                </c:pt>
                <c:pt idx="154">
                  <c:v>966.27662337662321</c:v>
                </c:pt>
                <c:pt idx="155">
                  <c:v>965.01688311688292</c:v>
                </c:pt>
                <c:pt idx="156">
                  <c:v>963.75714285714264</c:v>
                </c:pt>
                <c:pt idx="157">
                  <c:v>962.49740259740236</c:v>
                </c:pt>
                <c:pt idx="158">
                  <c:v>961.23766233766219</c:v>
                </c:pt>
                <c:pt idx="159">
                  <c:v>959.9779220779219</c:v>
                </c:pt>
                <c:pt idx="160">
                  <c:v>958.71818181818162</c:v>
                </c:pt>
                <c:pt idx="161">
                  <c:v>957.45844155844134</c:v>
                </c:pt>
                <c:pt idx="162">
                  <c:v>956.19870129870105</c:v>
                </c:pt>
                <c:pt idx="163">
                  <c:v>954.93896103896088</c:v>
                </c:pt>
                <c:pt idx="164">
                  <c:v>953.6792207792206</c:v>
                </c:pt>
                <c:pt idx="165">
                  <c:v>952.41948051948032</c:v>
                </c:pt>
                <c:pt idx="166">
                  <c:v>951.15974025974003</c:v>
                </c:pt>
                <c:pt idx="167">
                  <c:v>949.89999999999975</c:v>
                </c:pt>
                <c:pt idx="168">
                  <c:v>948.64025974025958</c:v>
                </c:pt>
                <c:pt idx="169">
                  <c:v>947.3805194805193</c:v>
                </c:pt>
                <c:pt idx="170">
                  <c:v>946.12077922077901</c:v>
                </c:pt>
                <c:pt idx="171">
                  <c:v>944.86103896103873</c:v>
                </c:pt>
                <c:pt idx="172">
                  <c:v>943.60129870129845</c:v>
                </c:pt>
                <c:pt idx="173">
                  <c:v>942.34155844155828</c:v>
                </c:pt>
                <c:pt idx="174">
                  <c:v>941.08181818181799</c:v>
                </c:pt>
                <c:pt idx="175">
                  <c:v>939.82207792207771</c:v>
                </c:pt>
                <c:pt idx="176">
                  <c:v>938.56233766233743</c:v>
                </c:pt>
                <c:pt idx="177">
                  <c:v>937.30259740259714</c:v>
                </c:pt>
                <c:pt idx="178">
                  <c:v>936.04285714285697</c:v>
                </c:pt>
                <c:pt idx="179">
                  <c:v>934.78311688311669</c:v>
                </c:pt>
                <c:pt idx="180">
                  <c:v>933.52337662337641</c:v>
                </c:pt>
                <c:pt idx="181">
                  <c:v>932.26363636363612</c:v>
                </c:pt>
                <c:pt idx="182">
                  <c:v>931.00389610389584</c:v>
                </c:pt>
                <c:pt idx="183">
                  <c:v>929.74415584415556</c:v>
                </c:pt>
                <c:pt idx="184">
                  <c:v>928.48441558441539</c:v>
                </c:pt>
                <c:pt idx="185">
                  <c:v>927.2246753246751</c:v>
                </c:pt>
                <c:pt idx="186">
                  <c:v>925.96493506493482</c:v>
                </c:pt>
                <c:pt idx="187">
                  <c:v>924.70519480519454</c:v>
                </c:pt>
                <c:pt idx="188">
                  <c:v>923.44545454545437</c:v>
                </c:pt>
                <c:pt idx="189">
                  <c:v>922.18571428571408</c:v>
                </c:pt>
                <c:pt idx="190">
                  <c:v>920.9259740259738</c:v>
                </c:pt>
                <c:pt idx="191">
                  <c:v>919.66623376623352</c:v>
                </c:pt>
                <c:pt idx="192">
                  <c:v>918.40649350649323</c:v>
                </c:pt>
                <c:pt idx="193">
                  <c:v>917.14675324675295</c:v>
                </c:pt>
                <c:pt idx="194">
                  <c:v>915.88701298701278</c:v>
                </c:pt>
                <c:pt idx="195">
                  <c:v>914.6272727272725</c:v>
                </c:pt>
                <c:pt idx="196">
                  <c:v>913.36753246753221</c:v>
                </c:pt>
                <c:pt idx="197">
                  <c:v>912.10779220779193</c:v>
                </c:pt>
                <c:pt idx="198">
                  <c:v>910.84805194805176</c:v>
                </c:pt>
                <c:pt idx="199">
                  <c:v>909.58831168831148</c:v>
                </c:pt>
                <c:pt idx="200">
                  <c:v>908.32857142857119</c:v>
                </c:pt>
                <c:pt idx="201">
                  <c:v>907.06883116883091</c:v>
                </c:pt>
                <c:pt idx="202">
                  <c:v>905.80909090909074</c:v>
                </c:pt>
                <c:pt idx="203">
                  <c:v>904.54935064935046</c:v>
                </c:pt>
                <c:pt idx="204">
                  <c:v>903.28961038961029</c:v>
                </c:pt>
                <c:pt idx="205">
                  <c:v>902.02987012987001</c:v>
                </c:pt>
                <c:pt idx="206">
                  <c:v>900.68055555555543</c:v>
                </c:pt>
                <c:pt idx="207">
                  <c:v>899.24166666666667</c:v>
                </c:pt>
                <c:pt idx="208">
                  <c:v>897.80277777777781</c:v>
                </c:pt>
                <c:pt idx="209">
                  <c:v>896.36388888888894</c:v>
                </c:pt>
                <c:pt idx="210">
                  <c:v>894.92500000000007</c:v>
                </c:pt>
                <c:pt idx="211">
                  <c:v>893.4861111111112</c:v>
                </c:pt>
                <c:pt idx="212">
                  <c:v>892.04722222222233</c:v>
                </c:pt>
                <c:pt idx="213">
                  <c:v>890.60833333333346</c:v>
                </c:pt>
                <c:pt idx="214">
                  <c:v>889.16944444444459</c:v>
                </c:pt>
                <c:pt idx="215">
                  <c:v>887.73055555555584</c:v>
                </c:pt>
                <c:pt idx="216">
                  <c:v>886.29166666666697</c:v>
                </c:pt>
                <c:pt idx="217">
                  <c:v>884.8527777777781</c:v>
                </c:pt>
                <c:pt idx="218">
                  <c:v>883.41388888888923</c:v>
                </c:pt>
                <c:pt idx="219">
                  <c:v>881.97500000000036</c:v>
                </c:pt>
                <c:pt idx="220">
                  <c:v>880.5361111111115</c:v>
                </c:pt>
                <c:pt idx="221">
                  <c:v>879.09722222222263</c:v>
                </c:pt>
                <c:pt idx="222">
                  <c:v>877.65833333333376</c:v>
                </c:pt>
                <c:pt idx="223">
                  <c:v>876.21944444444489</c:v>
                </c:pt>
                <c:pt idx="224">
                  <c:v>874.78055555555613</c:v>
                </c:pt>
                <c:pt idx="225">
                  <c:v>873.34166666666727</c:v>
                </c:pt>
                <c:pt idx="226">
                  <c:v>871.9027777777784</c:v>
                </c:pt>
                <c:pt idx="227">
                  <c:v>870.46388888888953</c:v>
                </c:pt>
                <c:pt idx="228">
                  <c:v>869.02500000000066</c:v>
                </c:pt>
                <c:pt idx="229">
                  <c:v>867.58611111111179</c:v>
                </c:pt>
                <c:pt idx="230">
                  <c:v>866.14722222222292</c:v>
                </c:pt>
                <c:pt idx="231">
                  <c:v>864.70833333333405</c:v>
                </c:pt>
                <c:pt idx="232">
                  <c:v>863.2694444444453</c:v>
                </c:pt>
                <c:pt idx="233">
                  <c:v>861.83055555555643</c:v>
                </c:pt>
                <c:pt idx="234">
                  <c:v>860.39166666666756</c:v>
                </c:pt>
                <c:pt idx="235">
                  <c:v>858.95277777777869</c:v>
                </c:pt>
                <c:pt idx="236">
                  <c:v>857.51388888888982</c:v>
                </c:pt>
                <c:pt idx="237">
                  <c:v>856.07500000000095</c:v>
                </c:pt>
                <c:pt idx="238">
                  <c:v>854.63611111111209</c:v>
                </c:pt>
                <c:pt idx="239">
                  <c:v>853.19722222222322</c:v>
                </c:pt>
                <c:pt idx="240">
                  <c:v>851.75833333333435</c:v>
                </c:pt>
                <c:pt idx="241">
                  <c:v>850.31944444444548</c:v>
                </c:pt>
                <c:pt idx="242">
                  <c:v>848.57500000000164</c:v>
                </c:pt>
                <c:pt idx="243">
                  <c:v>846.52500000000168</c:v>
                </c:pt>
                <c:pt idx="244">
                  <c:v>844.47500000000173</c:v>
                </c:pt>
                <c:pt idx="245">
                  <c:v>842.42500000000177</c:v>
                </c:pt>
                <c:pt idx="246">
                  <c:v>840.37500000000182</c:v>
                </c:pt>
                <c:pt idx="247">
                  <c:v>838.32500000000175</c:v>
                </c:pt>
                <c:pt idx="248">
                  <c:v>836.2750000000018</c:v>
                </c:pt>
                <c:pt idx="249">
                  <c:v>834.22500000000184</c:v>
                </c:pt>
                <c:pt idx="250">
                  <c:v>832.17500000000189</c:v>
                </c:pt>
                <c:pt idx="251">
                  <c:v>830.12500000000193</c:v>
                </c:pt>
                <c:pt idx="252">
                  <c:v>828.07500000000198</c:v>
                </c:pt>
                <c:pt idx="253">
                  <c:v>826.02500000000202</c:v>
                </c:pt>
                <c:pt idx="254">
                  <c:v>823.97500000000207</c:v>
                </c:pt>
                <c:pt idx="255">
                  <c:v>821.92500000000211</c:v>
                </c:pt>
                <c:pt idx="256">
                  <c:v>819.87500000000216</c:v>
                </c:pt>
                <c:pt idx="257">
                  <c:v>817.82500000000221</c:v>
                </c:pt>
                <c:pt idx="258">
                  <c:v>815.77500000000225</c:v>
                </c:pt>
                <c:pt idx="259">
                  <c:v>813.7250000000023</c:v>
                </c:pt>
                <c:pt idx="260">
                  <c:v>811.67500000000234</c:v>
                </c:pt>
                <c:pt idx="261">
                  <c:v>809.62500000000239</c:v>
                </c:pt>
                <c:pt idx="262">
                  <c:v>807.57500000000243</c:v>
                </c:pt>
                <c:pt idx="263">
                  <c:v>805.52500000000248</c:v>
                </c:pt>
                <c:pt idx="264">
                  <c:v>803.47500000000252</c:v>
                </c:pt>
                <c:pt idx="265">
                  <c:v>801.42500000000257</c:v>
                </c:pt>
                <c:pt idx="266">
                  <c:v>799.37500000000261</c:v>
                </c:pt>
                <c:pt idx="267">
                  <c:v>797.32500000000266</c:v>
                </c:pt>
                <c:pt idx="268">
                  <c:v>795.27500000000271</c:v>
                </c:pt>
                <c:pt idx="269">
                  <c:v>793.22500000000275</c:v>
                </c:pt>
                <c:pt idx="270">
                  <c:v>791.1750000000028</c:v>
                </c:pt>
                <c:pt idx="271">
                  <c:v>789.12500000000284</c:v>
                </c:pt>
                <c:pt idx="272">
                  <c:v>787.07500000000289</c:v>
                </c:pt>
                <c:pt idx="273">
                  <c:v>785.02500000000293</c:v>
                </c:pt>
                <c:pt idx="274">
                  <c:v>782.97500000000298</c:v>
                </c:pt>
                <c:pt idx="275">
                  <c:v>780.92500000000302</c:v>
                </c:pt>
                <c:pt idx="276">
                  <c:v>778.87500000000307</c:v>
                </c:pt>
                <c:pt idx="277">
                  <c:v>776.82500000000312</c:v>
                </c:pt>
                <c:pt idx="278">
                  <c:v>774.77500000000316</c:v>
                </c:pt>
                <c:pt idx="279">
                  <c:v>772.72500000000321</c:v>
                </c:pt>
                <c:pt idx="280">
                  <c:v>770.67500000000325</c:v>
                </c:pt>
                <c:pt idx="281">
                  <c:v>768.6250000000033</c:v>
                </c:pt>
                <c:pt idx="282">
                  <c:v>766.57500000000334</c:v>
                </c:pt>
                <c:pt idx="283">
                  <c:v>764.52500000000339</c:v>
                </c:pt>
                <c:pt idx="284">
                  <c:v>762.8285714285737</c:v>
                </c:pt>
                <c:pt idx="285">
                  <c:v>761.48571428571654</c:v>
                </c:pt>
                <c:pt idx="286">
                  <c:v>760.14285714285938</c:v>
                </c:pt>
                <c:pt idx="287">
                  <c:v>758.80000000000234</c:v>
                </c:pt>
                <c:pt idx="288">
                  <c:v>757.45714285714519</c:v>
                </c:pt>
                <c:pt idx="289">
                  <c:v>756.11428571428803</c:v>
                </c:pt>
                <c:pt idx="290">
                  <c:v>754.77142857143099</c:v>
                </c:pt>
                <c:pt idx="291">
                  <c:v>753.42857142857383</c:v>
                </c:pt>
                <c:pt idx="292">
                  <c:v>752.08571428571679</c:v>
                </c:pt>
                <c:pt idx="293">
                  <c:v>750.74285714285963</c:v>
                </c:pt>
                <c:pt idx="294">
                  <c:v>749.40000000000248</c:v>
                </c:pt>
                <c:pt idx="295">
                  <c:v>748.05714285714544</c:v>
                </c:pt>
                <c:pt idx="296">
                  <c:v>746.71428571428828</c:v>
                </c:pt>
                <c:pt idx="297">
                  <c:v>745.37142857143112</c:v>
                </c:pt>
                <c:pt idx="298">
                  <c:v>744.02857142857408</c:v>
                </c:pt>
                <c:pt idx="299">
                  <c:v>742.68571428571693</c:v>
                </c:pt>
                <c:pt idx="300">
                  <c:v>741.34285714285988</c:v>
                </c:pt>
                <c:pt idx="301">
                  <c:v>740.00000000000273</c:v>
                </c:pt>
                <c:pt idx="302">
                  <c:v>738.65714285714557</c:v>
                </c:pt>
                <c:pt idx="303">
                  <c:v>737.31428571428853</c:v>
                </c:pt>
                <c:pt idx="304">
                  <c:v>735.97142857143137</c:v>
                </c:pt>
                <c:pt idx="305">
                  <c:v>734.62857142857422</c:v>
                </c:pt>
                <c:pt idx="306">
                  <c:v>733.28571428571718</c:v>
                </c:pt>
                <c:pt idx="307">
                  <c:v>731.94285714286002</c:v>
                </c:pt>
                <c:pt idx="308">
                  <c:v>730.60000000000286</c:v>
                </c:pt>
                <c:pt idx="309">
                  <c:v>729.25714285714582</c:v>
                </c:pt>
                <c:pt idx="310">
                  <c:v>727.91428571428867</c:v>
                </c:pt>
                <c:pt idx="311">
                  <c:v>726.57142857143162</c:v>
                </c:pt>
                <c:pt idx="312">
                  <c:v>725.22857142857447</c:v>
                </c:pt>
                <c:pt idx="313">
                  <c:v>723.88571428571731</c:v>
                </c:pt>
                <c:pt idx="314">
                  <c:v>722.54285714286027</c:v>
                </c:pt>
                <c:pt idx="315">
                  <c:v>721.20000000000312</c:v>
                </c:pt>
                <c:pt idx="316">
                  <c:v>719.85714285714596</c:v>
                </c:pt>
                <c:pt idx="317">
                  <c:v>718.51428571428892</c:v>
                </c:pt>
                <c:pt idx="318">
                  <c:v>717.17142857143176</c:v>
                </c:pt>
                <c:pt idx="319">
                  <c:v>715.82857142857461</c:v>
                </c:pt>
                <c:pt idx="320">
                  <c:v>714.48571428571756</c:v>
                </c:pt>
                <c:pt idx="321">
                  <c:v>713.14285714286041</c:v>
                </c:pt>
                <c:pt idx="322">
                  <c:v>711.80000000000337</c:v>
                </c:pt>
                <c:pt idx="323">
                  <c:v>710.45714285714621</c:v>
                </c:pt>
                <c:pt idx="324">
                  <c:v>709.11428571428905</c:v>
                </c:pt>
                <c:pt idx="325">
                  <c:v>707.77142857143201</c:v>
                </c:pt>
                <c:pt idx="326">
                  <c:v>706.45000000000334</c:v>
                </c:pt>
                <c:pt idx="327">
                  <c:v>705.15000000000339</c:v>
                </c:pt>
                <c:pt idx="328">
                  <c:v>703.85000000000343</c:v>
                </c:pt>
                <c:pt idx="329">
                  <c:v>702.55000000000337</c:v>
                </c:pt>
                <c:pt idx="330">
                  <c:v>701.25000000000341</c:v>
                </c:pt>
                <c:pt idx="331">
                  <c:v>699.95000000000346</c:v>
                </c:pt>
                <c:pt idx="332">
                  <c:v>698.6500000000035</c:v>
                </c:pt>
                <c:pt idx="333">
                  <c:v>697.35000000000355</c:v>
                </c:pt>
                <c:pt idx="334">
                  <c:v>696.05000000000359</c:v>
                </c:pt>
                <c:pt idx="335">
                  <c:v>694.75000000000352</c:v>
                </c:pt>
                <c:pt idx="336">
                  <c:v>693.45000000000357</c:v>
                </c:pt>
                <c:pt idx="337">
                  <c:v>692.15000000000362</c:v>
                </c:pt>
                <c:pt idx="338">
                  <c:v>690.85000000000366</c:v>
                </c:pt>
                <c:pt idx="339">
                  <c:v>689.55000000000371</c:v>
                </c:pt>
                <c:pt idx="340">
                  <c:v>688.25000000000375</c:v>
                </c:pt>
                <c:pt idx="341">
                  <c:v>686.95000000000368</c:v>
                </c:pt>
                <c:pt idx="342">
                  <c:v>685.65000000000373</c:v>
                </c:pt>
                <c:pt idx="343">
                  <c:v>684.35000000000377</c:v>
                </c:pt>
                <c:pt idx="344">
                  <c:v>683.05000000000382</c:v>
                </c:pt>
                <c:pt idx="345">
                  <c:v>681.75000000000387</c:v>
                </c:pt>
                <c:pt idx="346">
                  <c:v>680.45000000000391</c:v>
                </c:pt>
                <c:pt idx="347">
                  <c:v>679.15000000000396</c:v>
                </c:pt>
                <c:pt idx="348">
                  <c:v>677.85000000000389</c:v>
                </c:pt>
                <c:pt idx="349">
                  <c:v>676.55000000000393</c:v>
                </c:pt>
                <c:pt idx="350">
                  <c:v>675.25000000000398</c:v>
                </c:pt>
                <c:pt idx="351">
                  <c:v>673.95000000000402</c:v>
                </c:pt>
                <c:pt idx="352">
                  <c:v>672.65000000000407</c:v>
                </c:pt>
                <c:pt idx="353">
                  <c:v>671.35000000000412</c:v>
                </c:pt>
                <c:pt idx="354">
                  <c:v>670.05000000000405</c:v>
                </c:pt>
                <c:pt idx="355">
                  <c:v>668.75000000000409</c:v>
                </c:pt>
                <c:pt idx="356">
                  <c:v>667.45000000000414</c:v>
                </c:pt>
                <c:pt idx="357">
                  <c:v>666.15000000000418</c:v>
                </c:pt>
                <c:pt idx="358">
                  <c:v>664.85000000000423</c:v>
                </c:pt>
                <c:pt idx="359">
                  <c:v>663.55000000000427</c:v>
                </c:pt>
                <c:pt idx="360">
                  <c:v>662.25000000000421</c:v>
                </c:pt>
                <c:pt idx="361">
                  <c:v>660.95000000000425</c:v>
                </c:pt>
                <c:pt idx="362">
                  <c:v>659.6500000000043</c:v>
                </c:pt>
                <c:pt idx="363">
                  <c:v>658.35000000000434</c:v>
                </c:pt>
                <c:pt idx="364">
                  <c:v>657.05000000000439</c:v>
                </c:pt>
                <c:pt idx="365">
                  <c:v>655.75000000000443</c:v>
                </c:pt>
                <c:pt idx="366">
                  <c:v>654.98666666666747</c:v>
                </c:pt>
                <c:pt idx="367">
                  <c:v>654.76000000000079</c:v>
                </c:pt>
                <c:pt idx="368">
                  <c:v>654.5333333333341</c:v>
                </c:pt>
                <c:pt idx="369">
                  <c:v>654.30666666666752</c:v>
                </c:pt>
                <c:pt idx="370">
                  <c:v>654.08000000000084</c:v>
                </c:pt>
                <c:pt idx="371">
                  <c:v>653.85333333333415</c:v>
                </c:pt>
                <c:pt idx="372">
                  <c:v>653.62666666666746</c:v>
                </c:pt>
                <c:pt idx="373">
                  <c:v>653.40000000000089</c:v>
                </c:pt>
                <c:pt idx="374">
                  <c:v>653.1733333333342</c:v>
                </c:pt>
                <c:pt idx="375">
                  <c:v>652.94666666666751</c:v>
                </c:pt>
                <c:pt idx="376">
                  <c:v>652.72000000000082</c:v>
                </c:pt>
                <c:pt idx="377">
                  <c:v>652.49333333333425</c:v>
                </c:pt>
                <c:pt idx="378">
                  <c:v>652.26666666666756</c:v>
                </c:pt>
                <c:pt idx="379">
                  <c:v>652.04000000000087</c:v>
                </c:pt>
                <c:pt idx="380">
                  <c:v>651.81333333333419</c:v>
                </c:pt>
                <c:pt idx="381">
                  <c:v>651.01000000000511</c:v>
                </c:pt>
                <c:pt idx="382">
                  <c:v>649.63000000000523</c:v>
                </c:pt>
                <c:pt idx="383">
                  <c:v>648.25000000000523</c:v>
                </c:pt>
                <c:pt idx="384">
                  <c:v>646.87000000000523</c:v>
                </c:pt>
                <c:pt idx="385">
                  <c:v>645.49000000000524</c:v>
                </c:pt>
                <c:pt idx="386">
                  <c:v>644.11000000000524</c:v>
                </c:pt>
                <c:pt idx="387">
                  <c:v>642.73000000000536</c:v>
                </c:pt>
                <c:pt idx="388">
                  <c:v>641.35000000000537</c:v>
                </c:pt>
                <c:pt idx="389">
                  <c:v>639.97000000000537</c:v>
                </c:pt>
                <c:pt idx="390">
                  <c:v>638.59000000000538</c:v>
                </c:pt>
                <c:pt idx="391">
                  <c:v>637.21000000000549</c:v>
                </c:pt>
                <c:pt idx="392">
                  <c:v>635.8300000000055</c:v>
                </c:pt>
                <c:pt idx="393">
                  <c:v>634.4500000000055</c:v>
                </c:pt>
                <c:pt idx="394">
                  <c:v>633.07000000000551</c:v>
                </c:pt>
                <c:pt idx="395">
                  <c:v>631.69000000000551</c:v>
                </c:pt>
                <c:pt idx="396">
                  <c:v>630.31000000000563</c:v>
                </c:pt>
                <c:pt idx="397">
                  <c:v>628.93000000000563</c:v>
                </c:pt>
                <c:pt idx="398">
                  <c:v>627.55000000000564</c:v>
                </c:pt>
                <c:pt idx="399">
                  <c:v>626.17000000000564</c:v>
                </c:pt>
                <c:pt idx="400">
                  <c:v>624.79000000000565</c:v>
                </c:pt>
                <c:pt idx="401">
                  <c:v>622.96000000000936</c:v>
                </c:pt>
                <c:pt idx="402">
                  <c:v>620.68000000000939</c:v>
                </c:pt>
                <c:pt idx="403">
                  <c:v>618.40000000000941</c:v>
                </c:pt>
                <c:pt idx="404">
                  <c:v>616.12000000000944</c:v>
                </c:pt>
                <c:pt idx="405">
                  <c:v>613.84000000000947</c:v>
                </c:pt>
                <c:pt idx="406">
                  <c:v>611.5600000000095</c:v>
                </c:pt>
                <c:pt idx="407">
                  <c:v>609.28000000000952</c:v>
                </c:pt>
                <c:pt idx="408">
                  <c:v>607.00000000000955</c:v>
                </c:pt>
                <c:pt idx="409">
                  <c:v>604.72000000000958</c:v>
                </c:pt>
                <c:pt idx="410">
                  <c:v>602.4400000000096</c:v>
                </c:pt>
                <c:pt idx="411">
                  <c:v>597.6833333333642</c:v>
                </c:pt>
                <c:pt idx="412">
                  <c:v>590.45000000003108</c:v>
                </c:pt>
                <c:pt idx="413">
                  <c:v>583.21666666669807</c:v>
                </c:pt>
                <c:pt idx="414">
                  <c:v>575.98333333336495</c:v>
                </c:pt>
                <c:pt idx="415">
                  <c:v>568.75000000003183</c:v>
                </c:pt>
                <c:pt idx="416">
                  <c:v>561.51666666669871</c:v>
                </c:pt>
                <c:pt idx="417">
                  <c:v>554.28333333336559</c:v>
                </c:pt>
                <c:pt idx="418">
                  <c:v>547.05000000003247</c:v>
                </c:pt>
                <c:pt idx="419">
                  <c:v>539.81666666669935</c:v>
                </c:pt>
                <c:pt idx="420">
                  <c:v>531.17916666671226</c:v>
                </c:pt>
                <c:pt idx="421">
                  <c:v>521.13750000004575</c:v>
                </c:pt>
                <c:pt idx="422">
                  <c:v>511.09583333337923</c:v>
                </c:pt>
                <c:pt idx="423">
                  <c:v>501.05416666671272</c:v>
                </c:pt>
                <c:pt idx="424">
                  <c:v>491.0125000000462</c:v>
                </c:pt>
                <c:pt idx="425">
                  <c:v>480.97083333337969</c:v>
                </c:pt>
                <c:pt idx="426">
                  <c:v>470.92916666671312</c:v>
                </c:pt>
                <c:pt idx="427">
                  <c:v>460.8875000000466</c:v>
                </c:pt>
                <c:pt idx="428">
                  <c:v>450.84583333338009</c:v>
                </c:pt>
                <c:pt idx="429">
                  <c:v>440.80416666671357</c:v>
                </c:pt>
                <c:pt idx="430">
                  <c:v>430.76250000004705</c:v>
                </c:pt>
                <c:pt idx="431">
                  <c:v>420.72083333338054</c:v>
                </c:pt>
                <c:pt idx="432">
                  <c:v>408.42500000006868</c:v>
                </c:pt>
                <c:pt idx="433">
                  <c:v>393.87500000006906</c:v>
                </c:pt>
                <c:pt idx="434">
                  <c:v>379.32500000006945</c:v>
                </c:pt>
                <c:pt idx="435">
                  <c:v>364.77500000006984</c:v>
                </c:pt>
                <c:pt idx="436">
                  <c:v>350.22500000007022</c:v>
                </c:pt>
                <c:pt idx="437">
                  <c:v>335.67500000007061</c:v>
                </c:pt>
                <c:pt idx="438">
                  <c:v>321.125000000071</c:v>
                </c:pt>
                <c:pt idx="439">
                  <c:v>306.57500000007138</c:v>
                </c:pt>
                <c:pt idx="440">
                  <c:v>292.02500000007177</c:v>
                </c:pt>
                <c:pt idx="441">
                  <c:v>277.47500000007216</c:v>
                </c:pt>
                <c:pt idx="442">
                  <c:v>264.29090909096794</c:v>
                </c:pt>
                <c:pt idx="443">
                  <c:v>252.47272727278633</c:v>
                </c:pt>
                <c:pt idx="444">
                  <c:v>240.65454545460472</c:v>
                </c:pt>
                <c:pt idx="445">
                  <c:v>228.83636363642307</c:v>
                </c:pt>
                <c:pt idx="446">
                  <c:v>217.01818181824146</c:v>
                </c:pt>
                <c:pt idx="447">
                  <c:v>205.20000000005982</c:v>
                </c:pt>
                <c:pt idx="448">
                  <c:v>193.3818181818782</c:v>
                </c:pt>
                <c:pt idx="449">
                  <c:v>181.56363636369656</c:v>
                </c:pt>
                <c:pt idx="450">
                  <c:v>169.74545454551495</c:v>
                </c:pt>
                <c:pt idx="451">
                  <c:v>157.92727272733333</c:v>
                </c:pt>
                <c:pt idx="452">
                  <c:v>146.10909090915169</c:v>
                </c:pt>
                <c:pt idx="453">
                  <c:v>136.24375000004085</c:v>
                </c:pt>
                <c:pt idx="454">
                  <c:v>128.33125000004102</c:v>
                </c:pt>
                <c:pt idx="455">
                  <c:v>120.4187500000412</c:v>
                </c:pt>
                <c:pt idx="456">
                  <c:v>112.50625000004138</c:v>
                </c:pt>
                <c:pt idx="457">
                  <c:v>104.59375000004155</c:v>
                </c:pt>
                <c:pt idx="458">
                  <c:v>96.681250000041729</c:v>
                </c:pt>
                <c:pt idx="459">
                  <c:v>88.768750000041905</c:v>
                </c:pt>
                <c:pt idx="460">
                  <c:v>80.856250000042081</c:v>
                </c:pt>
                <c:pt idx="461">
                  <c:v>74.700000000023536</c:v>
                </c:pt>
                <c:pt idx="462">
                  <c:v>70.300000000023687</c:v>
                </c:pt>
                <c:pt idx="463">
                  <c:v>65.900000000023837</c:v>
                </c:pt>
                <c:pt idx="464">
                  <c:v>61.500000000023995</c:v>
                </c:pt>
                <c:pt idx="465">
                  <c:v>57.100000000024153</c:v>
                </c:pt>
                <c:pt idx="466">
                  <c:v>51.225000000040474</c:v>
                </c:pt>
                <c:pt idx="467">
                  <c:v>43.875000000040473</c:v>
                </c:pt>
                <c:pt idx="468">
                  <c:v>20.100000000221371</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5334-48F2-9051-C40E5F5CB63F}"/>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43.900100000000293</c:v>
                </c:pt>
                <c:pt idx="891">
                  <c:v>43.900200000000297</c:v>
                </c:pt>
                <c:pt idx="892">
                  <c:v>43.9003000000003</c:v>
                </c:pt>
                <c:pt idx="893">
                  <c:v>43.900400000000303</c:v>
                </c:pt>
                <c:pt idx="894">
                  <c:v>43.900500000000306</c:v>
                </c:pt>
                <c:pt idx="895">
                  <c:v>43.90060000000031</c:v>
                </c:pt>
                <c:pt idx="896">
                  <c:v>43.900700000000313</c:v>
                </c:pt>
                <c:pt idx="897">
                  <c:v>43.900800000000316</c:v>
                </c:pt>
                <c:pt idx="898">
                  <c:v>43.90090000000032</c:v>
                </c:pt>
                <c:pt idx="899">
                  <c:v>43.901000000000323</c:v>
                </c:pt>
                <c:pt idx="900">
                  <c:v>43.901100000000326</c:v>
                </c:pt>
                <c:pt idx="901">
                  <c:v>43.90120000000033</c:v>
                </c:pt>
                <c:pt idx="902">
                  <c:v>43.901300000000333</c:v>
                </c:pt>
                <c:pt idx="903">
                  <c:v>43.901400000000336</c:v>
                </c:pt>
                <c:pt idx="904">
                  <c:v>43.90150000000034</c:v>
                </c:pt>
                <c:pt idx="905">
                  <c:v>43.901600000000343</c:v>
                </c:pt>
                <c:pt idx="906">
                  <c:v>43.901700000000346</c:v>
                </c:pt>
                <c:pt idx="907">
                  <c:v>43.90180000000035</c:v>
                </c:pt>
                <c:pt idx="908">
                  <c:v>43.901900000000353</c:v>
                </c:pt>
                <c:pt idx="909">
                  <c:v>43.902000000000356</c:v>
                </c:pt>
                <c:pt idx="910">
                  <c:v>43.90210000000036</c:v>
                </c:pt>
                <c:pt idx="911">
                  <c:v>43.902200000000363</c:v>
                </c:pt>
                <c:pt idx="912">
                  <c:v>43.902300000000366</c:v>
                </c:pt>
                <c:pt idx="913">
                  <c:v>43.90240000000037</c:v>
                </c:pt>
                <c:pt idx="914">
                  <c:v>43.902500000000373</c:v>
                </c:pt>
                <c:pt idx="915">
                  <c:v>43.902600000000376</c:v>
                </c:pt>
                <c:pt idx="916">
                  <c:v>43.90270000000038</c:v>
                </c:pt>
                <c:pt idx="917">
                  <c:v>43.902800000000383</c:v>
                </c:pt>
                <c:pt idx="918">
                  <c:v>43.902900000000386</c:v>
                </c:pt>
                <c:pt idx="919">
                  <c:v>43.903000000000389</c:v>
                </c:pt>
                <c:pt idx="920">
                  <c:v>43.903100000000393</c:v>
                </c:pt>
                <c:pt idx="921">
                  <c:v>43.903200000000396</c:v>
                </c:pt>
                <c:pt idx="922">
                  <c:v>43.903300000000399</c:v>
                </c:pt>
                <c:pt idx="923">
                  <c:v>43.903400000000403</c:v>
                </c:pt>
                <c:pt idx="924">
                  <c:v>43.903500000000406</c:v>
                </c:pt>
                <c:pt idx="925">
                  <c:v>43.903600000000409</c:v>
                </c:pt>
                <c:pt idx="926">
                  <c:v>43.903700000000413</c:v>
                </c:pt>
                <c:pt idx="927">
                  <c:v>43.903800000000416</c:v>
                </c:pt>
                <c:pt idx="928">
                  <c:v>43.903900000000419</c:v>
                </c:pt>
                <c:pt idx="929">
                  <c:v>43.904000000000423</c:v>
                </c:pt>
                <c:pt idx="930">
                  <c:v>43.904100000000426</c:v>
                </c:pt>
                <c:pt idx="931">
                  <c:v>43.904200000000429</c:v>
                </c:pt>
                <c:pt idx="932">
                  <c:v>43.904300000000433</c:v>
                </c:pt>
                <c:pt idx="933">
                  <c:v>43.904400000000436</c:v>
                </c:pt>
                <c:pt idx="934">
                  <c:v>43.904500000000439</c:v>
                </c:pt>
                <c:pt idx="935">
                  <c:v>43.904600000000443</c:v>
                </c:pt>
                <c:pt idx="936">
                  <c:v>43.904700000000446</c:v>
                </c:pt>
                <c:pt idx="937">
                  <c:v>43.904800000000449</c:v>
                </c:pt>
                <c:pt idx="938">
                  <c:v>43.904900000000453</c:v>
                </c:pt>
                <c:pt idx="939">
                  <c:v>43.905000000000456</c:v>
                </c:pt>
                <c:pt idx="940">
                  <c:v>43.905100000000459</c:v>
                </c:pt>
                <c:pt idx="941">
                  <c:v>43.905200000000463</c:v>
                </c:pt>
                <c:pt idx="942">
                  <c:v>43.905300000000466</c:v>
                </c:pt>
                <c:pt idx="943">
                  <c:v>43.905400000000469</c:v>
                </c:pt>
                <c:pt idx="944">
                  <c:v>43.905500000000472</c:v>
                </c:pt>
                <c:pt idx="945">
                  <c:v>43.905600000000476</c:v>
                </c:pt>
                <c:pt idx="946">
                  <c:v>43.905700000000479</c:v>
                </c:pt>
                <c:pt idx="947">
                  <c:v>43.905800000000482</c:v>
                </c:pt>
                <c:pt idx="948">
                  <c:v>43.905900000000486</c:v>
                </c:pt>
                <c:pt idx="949">
                  <c:v>43.906000000000489</c:v>
                </c:pt>
                <c:pt idx="950">
                  <c:v>43.906100000000492</c:v>
                </c:pt>
                <c:pt idx="951">
                  <c:v>43.906200000000496</c:v>
                </c:pt>
                <c:pt idx="952">
                  <c:v>43.906300000000499</c:v>
                </c:pt>
                <c:pt idx="953">
                  <c:v>43.906400000000502</c:v>
                </c:pt>
                <c:pt idx="954">
                  <c:v>43.906500000000506</c:v>
                </c:pt>
                <c:pt idx="955">
                  <c:v>43.906600000000509</c:v>
                </c:pt>
                <c:pt idx="956">
                  <c:v>43.906700000000512</c:v>
                </c:pt>
                <c:pt idx="957">
                  <c:v>43.906800000000516</c:v>
                </c:pt>
                <c:pt idx="958">
                  <c:v>43.906900000000519</c:v>
                </c:pt>
                <c:pt idx="959">
                  <c:v>43.907000000000522</c:v>
                </c:pt>
                <c:pt idx="960">
                  <c:v>43.907100000000526</c:v>
                </c:pt>
                <c:pt idx="961">
                  <c:v>43.907200000000529</c:v>
                </c:pt>
                <c:pt idx="962">
                  <c:v>43.907300000000532</c:v>
                </c:pt>
                <c:pt idx="963">
                  <c:v>43.907400000000536</c:v>
                </c:pt>
                <c:pt idx="964">
                  <c:v>43.907500000000539</c:v>
                </c:pt>
                <c:pt idx="965">
                  <c:v>43.907600000000542</c:v>
                </c:pt>
                <c:pt idx="966">
                  <c:v>43.907700000000546</c:v>
                </c:pt>
                <c:pt idx="967">
                  <c:v>43.907800000000549</c:v>
                </c:pt>
                <c:pt idx="968">
                  <c:v>43.907900000000552</c:v>
                </c:pt>
                <c:pt idx="969">
                  <c:v>43.908000000000555</c:v>
                </c:pt>
                <c:pt idx="970">
                  <c:v>43.908100000000559</c:v>
                </c:pt>
                <c:pt idx="971">
                  <c:v>43.908200000000562</c:v>
                </c:pt>
                <c:pt idx="972">
                  <c:v>43.908300000000565</c:v>
                </c:pt>
                <c:pt idx="973">
                  <c:v>43.908400000000569</c:v>
                </c:pt>
                <c:pt idx="974">
                  <c:v>43.908500000000572</c:v>
                </c:pt>
                <c:pt idx="975">
                  <c:v>43.908600000000575</c:v>
                </c:pt>
                <c:pt idx="976">
                  <c:v>43.908700000000579</c:v>
                </c:pt>
                <c:pt idx="977">
                  <c:v>43.908800000000582</c:v>
                </c:pt>
                <c:pt idx="978">
                  <c:v>43.908900000000585</c:v>
                </c:pt>
                <c:pt idx="979">
                  <c:v>43.909000000000589</c:v>
                </c:pt>
                <c:pt idx="980">
                  <c:v>43.909100000000592</c:v>
                </c:pt>
                <c:pt idx="981">
                  <c:v>43.909200000000595</c:v>
                </c:pt>
                <c:pt idx="982">
                  <c:v>43.909300000000599</c:v>
                </c:pt>
                <c:pt idx="983">
                  <c:v>43.909400000000602</c:v>
                </c:pt>
                <c:pt idx="984">
                  <c:v>43.909500000000605</c:v>
                </c:pt>
                <c:pt idx="985">
                  <c:v>43.909600000000609</c:v>
                </c:pt>
                <c:pt idx="986">
                  <c:v>43.909700000000612</c:v>
                </c:pt>
                <c:pt idx="987">
                  <c:v>43.909800000000615</c:v>
                </c:pt>
                <c:pt idx="988">
                  <c:v>43.909900000000619</c:v>
                </c:pt>
                <c:pt idx="989">
                  <c:v>43.910000000000622</c:v>
                </c:pt>
                <c:pt idx="990">
                  <c:v>43.910100000000625</c:v>
                </c:pt>
                <c:pt idx="991">
                  <c:v>43.910200000000629</c:v>
                </c:pt>
                <c:pt idx="992">
                  <c:v>43.910300000000632</c:v>
                </c:pt>
                <c:pt idx="993">
                  <c:v>43.910400000000635</c:v>
                </c:pt>
                <c:pt idx="994">
                  <c:v>43.910500000000638</c:v>
                </c:pt>
                <c:pt idx="995">
                  <c:v>43.910600000000642</c:v>
                </c:pt>
                <c:pt idx="996">
                  <c:v>43.910700000000645</c:v>
                </c:pt>
                <c:pt idx="997">
                  <c:v>43.910800000000648</c:v>
                </c:pt>
                <c:pt idx="998">
                  <c:v>43.910900000000652</c:v>
                </c:pt>
                <c:pt idx="999">
                  <c:v>43.911000000000655</c:v>
                </c:pt>
                <c:pt idx="1000">
                  <c:v>43.911100000000658</c:v>
                </c:pt>
              </c:numCache>
            </c:numRef>
          </c:xVal>
          <c:yVal>
            <c:numRef>
              <c:f>Calculs!$T$4:$T$1004</c:f>
              <c:numCache>
                <c:formatCode>0.00</c:formatCode>
                <c:ptCount val="1001"/>
                <c:pt idx="0">
                  <c:v>140.11622999999997</c:v>
                </c:pt>
                <c:pt idx="1">
                  <c:v>140.10567932965608</c:v>
                </c:pt>
                <c:pt idx="2">
                  <c:v>140.0834925088335</c:v>
                </c:pt>
                <c:pt idx="3">
                  <c:v>140.05648108918265</c:v>
                </c:pt>
                <c:pt idx="4">
                  <c:v>140.02464507070351</c:v>
                </c:pt>
                <c:pt idx="5">
                  <c:v>139.98798445339611</c:v>
                </c:pt>
                <c:pt idx="6">
                  <c:v>139.94649923726041</c:v>
                </c:pt>
                <c:pt idx="7">
                  <c:v>139.90018942229645</c:v>
                </c:pt>
                <c:pt idx="8">
                  <c:v>139.84905500850419</c:v>
                </c:pt>
                <c:pt idx="9">
                  <c:v>139.79309599588368</c:v>
                </c:pt>
                <c:pt idx="10">
                  <c:v>139.73231238443486</c:v>
                </c:pt>
                <c:pt idx="11">
                  <c:v>139.66947274911917</c:v>
                </c:pt>
                <c:pt idx="12">
                  <c:v>139.60734566489796</c:v>
                </c:pt>
                <c:pt idx="13">
                  <c:v>139.54595219239474</c:v>
                </c:pt>
                <c:pt idx="14">
                  <c:v>139.48531339223297</c:v>
                </c:pt>
                <c:pt idx="15">
                  <c:v>139.42542926441263</c:v>
                </c:pt>
                <c:pt idx="16">
                  <c:v>139.36629980893377</c:v>
                </c:pt>
                <c:pt idx="17">
                  <c:v>139.30792502579635</c:v>
                </c:pt>
                <c:pt idx="18">
                  <c:v>139.25030491500038</c:v>
                </c:pt>
                <c:pt idx="19">
                  <c:v>139.19343947654588</c:v>
                </c:pt>
                <c:pt idx="20">
                  <c:v>139.1373287104328</c:v>
                </c:pt>
                <c:pt idx="21">
                  <c:v>139.0819726166612</c:v>
                </c:pt>
                <c:pt idx="22">
                  <c:v>139.02737119523104</c:v>
                </c:pt>
                <c:pt idx="23">
                  <c:v>138.97352444614233</c:v>
                </c:pt>
                <c:pt idx="24">
                  <c:v>138.92043236939509</c:v>
                </c:pt>
                <c:pt idx="25">
                  <c:v>138.8680949649893</c:v>
                </c:pt>
                <c:pt idx="26">
                  <c:v>138.81651223292494</c:v>
                </c:pt>
                <c:pt idx="27">
                  <c:v>138.7653150272738</c:v>
                </c:pt>
                <c:pt idx="28">
                  <c:v>138.71413420210757</c:v>
                </c:pt>
                <c:pt idx="29">
                  <c:v>138.66296975742628</c:v>
                </c:pt>
                <c:pt idx="30">
                  <c:v>138.61182169322993</c:v>
                </c:pt>
                <c:pt idx="31">
                  <c:v>138.56069000951851</c:v>
                </c:pt>
                <c:pt idx="32">
                  <c:v>138.50957470629203</c:v>
                </c:pt>
                <c:pt idx="33">
                  <c:v>138.45847578355045</c:v>
                </c:pt>
                <c:pt idx="34">
                  <c:v>138.40739324129382</c:v>
                </c:pt>
                <c:pt idx="35">
                  <c:v>138.35632707952212</c:v>
                </c:pt>
                <c:pt idx="36">
                  <c:v>138.30527729823535</c:v>
                </c:pt>
                <c:pt idx="37">
                  <c:v>138.25424389743353</c:v>
                </c:pt>
                <c:pt idx="38">
                  <c:v>138.20322687711661</c:v>
                </c:pt>
                <c:pt idx="39">
                  <c:v>138.15222623728462</c:v>
                </c:pt>
                <c:pt idx="40">
                  <c:v>138.10124197793758</c:v>
                </c:pt>
                <c:pt idx="41">
                  <c:v>138.05027409907547</c:v>
                </c:pt>
                <c:pt idx="42">
                  <c:v>137.99932260069826</c:v>
                </c:pt>
                <c:pt idx="43">
                  <c:v>137.94838748280603</c:v>
                </c:pt>
                <c:pt idx="44">
                  <c:v>137.8974687453987</c:v>
                </c:pt>
                <c:pt idx="45">
                  <c:v>137.8465663884763</c:v>
                </c:pt>
                <c:pt idx="46">
                  <c:v>137.79568041203885</c:v>
                </c:pt>
                <c:pt idx="47">
                  <c:v>137.7448108160863</c:v>
                </c:pt>
                <c:pt idx="48">
                  <c:v>137.69395760061872</c:v>
                </c:pt>
                <c:pt idx="49">
                  <c:v>137.64312076563604</c:v>
                </c:pt>
                <c:pt idx="50">
                  <c:v>137.5923003111383</c:v>
                </c:pt>
                <c:pt idx="51">
                  <c:v>137.5414962371255</c:v>
                </c:pt>
                <c:pt idx="52">
                  <c:v>137.49070854359761</c:v>
                </c:pt>
                <c:pt idx="53">
                  <c:v>137.43993723055468</c:v>
                </c:pt>
                <c:pt idx="54">
                  <c:v>137.38918229799665</c:v>
                </c:pt>
                <c:pt idx="55">
                  <c:v>137.33844374592357</c:v>
                </c:pt>
                <c:pt idx="56">
                  <c:v>137.28772157433542</c:v>
                </c:pt>
                <c:pt idx="57">
                  <c:v>137.23701578323218</c:v>
                </c:pt>
                <c:pt idx="58">
                  <c:v>137.18632637261391</c:v>
                </c:pt>
                <c:pt idx="59">
                  <c:v>137.13565334248054</c:v>
                </c:pt>
                <c:pt idx="60">
                  <c:v>137.08499669283211</c:v>
                </c:pt>
                <c:pt idx="61">
                  <c:v>137.03435642366861</c:v>
                </c:pt>
                <c:pt idx="62">
                  <c:v>136.98373253499005</c:v>
                </c:pt>
                <c:pt idx="63">
                  <c:v>136.9331250267964</c:v>
                </c:pt>
                <c:pt idx="64">
                  <c:v>136.88253389908769</c:v>
                </c:pt>
                <c:pt idx="65">
                  <c:v>136.83195915186391</c:v>
                </c:pt>
                <c:pt idx="66">
                  <c:v>136.78140078512507</c:v>
                </c:pt>
                <c:pt idx="67">
                  <c:v>136.73085879887117</c:v>
                </c:pt>
                <c:pt idx="68">
                  <c:v>136.68033319310217</c:v>
                </c:pt>
                <c:pt idx="69">
                  <c:v>136.62982396781811</c:v>
                </c:pt>
                <c:pt idx="70">
                  <c:v>136.57933112301899</c:v>
                </c:pt>
                <c:pt idx="71">
                  <c:v>136.5288546587048</c:v>
                </c:pt>
                <c:pt idx="72">
                  <c:v>136.4783987131033</c:v>
                </c:pt>
                <c:pt idx="73">
                  <c:v>136.42796742444227</c:v>
                </c:pt>
                <c:pt idx="74">
                  <c:v>136.37756079272174</c:v>
                </c:pt>
                <c:pt idx="75">
                  <c:v>136.32717881794167</c:v>
                </c:pt>
                <c:pt idx="76">
                  <c:v>136.27682150010207</c:v>
                </c:pt>
                <c:pt idx="77">
                  <c:v>136.22648883920297</c:v>
                </c:pt>
                <c:pt idx="78">
                  <c:v>136.17618083524434</c:v>
                </c:pt>
                <c:pt idx="79">
                  <c:v>136.12589748822614</c:v>
                </c:pt>
                <c:pt idx="80">
                  <c:v>136.07563879814847</c:v>
                </c:pt>
                <c:pt idx="81">
                  <c:v>136.02540476501125</c:v>
                </c:pt>
                <c:pt idx="82">
                  <c:v>135.97519538881451</c:v>
                </c:pt>
                <c:pt idx="83">
                  <c:v>135.92501066955825</c:v>
                </c:pt>
                <c:pt idx="84">
                  <c:v>135.87485060724245</c:v>
                </c:pt>
                <c:pt idx="85">
                  <c:v>135.82471520186712</c:v>
                </c:pt>
                <c:pt idx="86">
                  <c:v>135.77460445343229</c:v>
                </c:pt>
                <c:pt idx="87">
                  <c:v>135.72451836193792</c:v>
                </c:pt>
                <c:pt idx="88">
                  <c:v>135.67445692738403</c:v>
                </c:pt>
                <c:pt idx="89">
                  <c:v>135.6244201497706</c:v>
                </c:pt>
                <c:pt idx="90">
                  <c:v>135.57440802909767</c:v>
                </c:pt>
                <c:pt idx="91">
                  <c:v>135.52442056536518</c:v>
                </c:pt>
                <c:pt idx="92">
                  <c:v>135.47445775857318</c:v>
                </c:pt>
                <c:pt idx="93">
                  <c:v>135.42451960872165</c:v>
                </c:pt>
                <c:pt idx="94">
                  <c:v>135.37460611581062</c:v>
                </c:pt>
                <c:pt idx="95">
                  <c:v>135.32471727984006</c:v>
                </c:pt>
                <c:pt idx="96">
                  <c:v>135.27485310080996</c:v>
                </c:pt>
                <c:pt idx="97">
                  <c:v>135.22501357872034</c:v>
                </c:pt>
                <c:pt idx="98">
                  <c:v>135.17519871357118</c:v>
                </c:pt>
                <c:pt idx="99">
                  <c:v>135.12540850536251</c:v>
                </c:pt>
                <c:pt idx="100">
                  <c:v>135.07564295409432</c:v>
                </c:pt>
                <c:pt idx="101">
                  <c:v>135.02590205976659</c:v>
                </c:pt>
                <c:pt idx="102">
                  <c:v>134.97618582237936</c:v>
                </c:pt>
                <c:pt idx="103">
                  <c:v>134.92649424193257</c:v>
                </c:pt>
                <c:pt idx="104">
                  <c:v>134.87682731842628</c:v>
                </c:pt>
                <c:pt idx="105">
                  <c:v>134.82718505186045</c:v>
                </c:pt>
                <c:pt idx="106">
                  <c:v>134.7775674422351</c:v>
                </c:pt>
                <c:pt idx="107">
                  <c:v>134.72797448955023</c:v>
                </c:pt>
                <c:pt idx="108">
                  <c:v>134.67840619380584</c:v>
                </c:pt>
                <c:pt idx="109">
                  <c:v>134.62886255500192</c:v>
                </c:pt>
                <c:pt idx="110">
                  <c:v>134.57934357313846</c:v>
                </c:pt>
                <c:pt idx="111">
                  <c:v>134.5298492482155</c:v>
                </c:pt>
                <c:pt idx="112">
                  <c:v>134.48037958023301</c:v>
                </c:pt>
                <c:pt idx="113">
                  <c:v>134.43093456919098</c:v>
                </c:pt>
                <c:pt idx="114">
                  <c:v>134.38151421508942</c:v>
                </c:pt>
                <c:pt idx="115">
                  <c:v>134.33211851792834</c:v>
                </c:pt>
                <c:pt idx="116">
                  <c:v>134.28274747770774</c:v>
                </c:pt>
                <c:pt idx="117">
                  <c:v>134.23340109442762</c:v>
                </c:pt>
                <c:pt idx="118">
                  <c:v>134.18407936808796</c:v>
                </c:pt>
                <c:pt idx="119">
                  <c:v>134.13478229868878</c:v>
                </c:pt>
                <c:pt idx="120">
                  <c:v>134.08550988623008</c:v>
                </c:pt>
                <c:pt idx="121">
                  <c:v>134.03626213071186</c:v>
                </c:pt>
                <c:pt idx="122">
                  <c:v>133.98703903213411</c:v>
                </c:pt>
                <c:pt idx="123">
                  <c:v>133.93784059049682</c:v>
                </c:pt>
                <c:pt idx="124">
                  <c:v>133.88866680580003</c:v>
                </c:pt>
                <c:pt idx="125">
                  <c:v>133.83951767804368</c:v>
                </c:pt>
                <c:pt idx="126">
                  <c:v>133.79039320722785</c:v>
                </c:pt>
                <c:pt idx="127">
                  <c:v>133.74129339335246</c:v>
                </c:pt>
                <c:pt idx="128">
                  <c:v>133.69221823641757</c:v>
                </c:pt>
                <c:pt idx="129">
                  <c:v>133.64318636068739</c:v>
                </c:pt>
                <c:pt idx="130">
                  <c:v>133.59421639042628</c:v>
                </c:pt>
                <c:pt idx="131">
                  <c:v>133.54530832563418</c:v>
                </c:pt>
                <c:pt idx="132">
                  <c:v>133.49646216631109</c:v>
                </c:pt>
                <c:pt idx="133">
                  <c:v>133.44767791245704</c:v>
                </c:pt>
                <c:pt idx="134">
                  <c:v>133.398955564072</c:v>
                </c:pt>
                <c:pt idx="135">
                  <c:v>133.35029512115599</c:v>
                </c:pt>
                <c:pt idx="136">
                  <c:v>133.30169658370903</c:v>
                </c:pt>
                <c:pt idx="137">
                  <c:v>133.25315995173108</c:v>
                </c:pt>
                <c:pt idx="138">
                  <c:v>133.20468522522211</c:v>
                </c:pt>
                <c:pt idx="139">
                  <c:v>133.1562724041822</c:v>
                </c:pt>
                <c:pt idx="140">
                  <c:v>133.10792148861131</c:v>
                </c:pt>
                <c:pt idx="141">
                  <c:v>133.05963247850943</c:v>
                </c:pt>
                <c:pt idx="142">
                  <c:v>133.01140537387658</c:v>
                </c:pt>
                <c:pt idx="143">
                  <c:v>132.96324017471278</c:v>
                </c:pt>
                <c:pt idx="144">
                  <c:v>132.91513688101799</c:v>
                </c:pt>
                <c:pt idx="145">
                  <c:v>132.8670954927922</c:v>
                </c:pt>
                <c:pt idx="146">
                  <c:v>132.81911601003549</c:v>
                </c:pt>
                <c:pt idx="147">
                  <c:v>132.77119843274775</c:v>
                </c:pt>
                <c:pt idx="148">
                  <c:v>132.72334276092906</c:v>
                </c:pt>
                <c:pt idx="149">
                  <c:v>132.6755489945794</c:v>
                </c:pt>
                <c:pt idx="150">
                  <c:v>132.62781713369876</c:v>
                </c:pt>
                <c:pt idx="151">
                  <c:v>132.58014717828712</c:v>
                </c:pt>
                <c:pt idx="152">
                  <c:v>132.5325391283445</c:v>
                </c:pt>
                <c:pt idx="153">
                  <c:v>132.48499298387094</c:v>
                </c:pt>
                <c:pt idx="154">
                  <c:v>132.43750874486636</c:v>
                </c:pt>
                <c:pt idx="155">
                  <c:v>132.39008641133086</c:v>
                </c:pt>
                <c:pt idx="156">
                  <c:v>132.34272598326433</c:v>
                </c:pt>
                <c:pt idx="157">
                  <c:v>132.29542746066687</c:v>
                </c:pt>
                <c:pt idx="158">
                  <c:v>132.2481908435384</c:v>
                </c:pt>
                <c:pt idx="159">
                  <c:v>132.20101613187899</c:v>
                </c:pt>
                <c:pt idx="160">
                  <c:v>132.15390332568859</c:v>
                </c:pt>
                <c:pt idx="161">
                  <c:v>132.1068524249672</c:v>
                </c:pt>
                <c:pt idx="162">
                  <c:v>132.05986342971485</c:v>
                </c:pt>
                <c:pt idx="163">
                  <c:v>132.01293633993151</c:v>
                </c:pt>
                <c:pt idx="164">
                  <c:v>131.96607115561719</c:v>
                </c:pt>
                <c:pt idx="165">
                  <c:v>131.9192678767719</c:v>
                </c:pt>
                <c:pt idx="166">
                  <c:v>131.87252650339565</c:v>
                </c:pt>
                <c:pt idx="167">
                  <c:v>131.82584703548841</c:v>
                </c:pt>
                <c:pt idx="168">
                  <c:v>131.77922947305018</c:v>
                </c:pt>
                <c:pt idx="169">
                  <c:v>131.73267381608099</c:v>
                </c:pt>
                <c:pt idx="170">
                  <c:v>131.68618006458084</c:v>
                </c:pt>
                <c:pt idx="171">
                  <c:v>131.6397482185497</c:v>
                </c:pt>
                <c:pt idx="172">
                  <c:v>131.59337827798757</c:v>
                </c:pt>
                <c:pt idx="173">
                  <c:v>131.54707024289448</c:v>
                </c:pt>
                <c:pt idx="174">
                  <c:v>131.50082411327043</c:v>
                </c:pt>
                <c:pt idx="175">
                  <c:v>131.45463988911538</c:v>
                </c:pt>
                <c:pt idx="176">
                  <c:v>131.40851757042935</c:v>
                </c:pt>
                <c:pt idx="177">
                  <c:v>131.36245715721233</c:v>
                </c:pt>
                <c:pt idx="178">
                  <c:v>131.31645864946438</c:v>
                </c:pt>
                <c:pt idx="179">
                  <c:v>131.27052204718541</c:v>
                </c:pt>
                <c:pt idx="180">
                  <c:v>131.22464735037548</c:v>
                </c:pt>
                <c:pt idx="181">
                  <c:v>131.17883455903458</c:v>
                </c:pt>
                <c:pt idx="182">
                  <c:v>131.1330836731627</c:v>
                </c:pt>
                <c:pt idx="183">
                  <c:v>131.08739469275986</c:v>
                </c:pt>
                <c:pt idx="184">
                  <c:v>131.04176761782605</c:v>
                </c:pt>
                <c:pt idx="185">
                  <c:v>130.99620244836123</c:v>
                </c:pt>
                <c:pt idx="186">
                  <c:v>130.95069918436548</c:v>
                </c:pt>
                <c:pt idx="187">
                  <c:v>130.9052578258387</c:v>
                </c:pt>
                <c:pt idx="188">
                  <c:v>130.85987837278097</c:v>
                </c:pt>
                <c:pt idx="189">
                  <c:v>130.81456082519225</c:v>
                </c:pt>
                <c:pt idx="190">
                  <c:v>130.76930518307256</c:v>
                </c:pt>
                <c:pt idx="191">
                  <c:v>130.72411144642192</c:v>
                </c:pt>
                <c:pt idx="192">
                  <c:v>130.67897961524025</c:v>
                </c:pt>
                <c:pt idx="193">
                  <c:v>130.63390968952766</c:v>
                </c:pt>
                <c:pt idx="194">
                  <c:v>130.58890166928407</c:v>
                </c:pt>
                <c:pt idx="195">
                  <c:v>130.54395555450949</c:v>
                </c:pt>
                <c:pt idx="196">
                  <c:v>130.49907134520396</c:v>
                </c:pt>
                <c:pt idx="197">
                  <c:v>130.45424904136746</c:v>
                </c:pt>
                <c:pt idx="198">
                  <c:v>130.40948864299997</c:v>
                </c:pt>
                <c:pt idx="199">
                  <c:v>130.36479015010153</c:v>
                </c:pt>
                <c:pt idx="200">
                  <c:v>130.32015356267206</c:v>
                </c:pt>
                <c:pt idx="201">
                  <c:v>130.27557888071163</c:v>
                </c:pt>
                <c:pt idx="202">
                  <c:v>130.23106610422025</c:v>
                </c:pt>
                <c:pt idx="203">
                  <c:v>130.18661523319787</c:v>
                </c:pt>
                <c:pt idx="204">
                  <c:v>130.14222626764453</c:v>
                </c:pt>
                <c:pt idx="205">
                  <c:v>130.0978992075602</c:v>
                </c:pt>
                <c:pt idx="206">
                  <c:v>130.05363845475705</c:v>
                </c:pt>
                <c:pt idx="207">
                  <c:v>130.00944841104715</c:v>
                </c:pt>
                <c:pt idx="208">
                  <c:v>129.96532907643055</c:v>
                </c:pt>
                <c:pt idx="209">
                  <c:v>129.92128045090723</c:v>
                </c:pt>
                <c:pt idx="210">
                  <c:v>129.87730253447722</c:v>
                </c:pt>
                <c:pt idx="211">
                  <c:v>129.83339532714047</c:v>
                </c:pt>
                <c:pt idx="212">
                  <c:v>129.78955882889701</c:v>
                </c:pt>
                <c:pt idx="213">
                  <c:v>129.74579303974684</c:v>
                </c:pt>
                <c:pt idx="214">
                  <c:v>129.70209795968995</c:v>
                </c:pt>
                <c:pt idx="215">
                  <c:v>129.65847358872634</c:v>
                </c:pt>
                <c:pt idx="216">
                  <c:v>129.61491992685603</c:v>
                </c:pt>
                <c:pt idx="217">
                  <c:v>129.57143697407898</c:v>
                </c:pt>
                <c:pt idx="218">
                  <c:v>129.5280247303952</c:v>
                </c:pt>
                <c:pt idx="219">
                  <c:v>129.48468319580476</c:v>
                </c:pt>
                <c:pt idx="220">
                  <c:v>129.44141237030757</c:v>
                </c:pt>
                <c:pt idx="221">
                  <c:v>129.39821225390367</c:v>
                </c:pt>
                <c:pt idx="222">
                  <c:v>129.35508284659306</c:v>
                </c:pt>
                <c:pt idx="223">
                  <c:v>129.31202414837571</c:v>
                </c:pt>
                <c:pt idx="224">
                  <c:v>129.26903615925167</c:v>
                </c:pt>
                <c:pt idx="225">
                  <c:v>129.22611887922091</c:v>
                </c:pt>
                <c:pt idx="226">
                  <c:v>129.18327230828345</c:v>
                </c:pt>
                <c:pt idx="227">
                  <c:v>129.14049644643924</c:v>
                </c:pt>
                <c:pt idx="228">
                  <c:v>129.09779129368835</c:v>
                </c:pt>
                <c:pt idx="229">
                  <c:v>129.05515685003073</c:v>
                </c:pt>
                <c:pt idx="230">
                  <c:v>129.01259311546639</c:v>
                </c:pt>
                <c:pt idx="231">
                  <c:v>128.97010008999533</c:v>
                </c:pt>
                <c:pt idx="232">
                  <c:v>128.92767777361755</c:v>
                </c:pt>
                <c:pt idx="233">
                  <c:v>128.88532616633307</c:v>
                </c:pt>
                <c:pt idx="234">
                  <c:v>128.84304526814188</c:v>
                </c:pt>
                <c:pt idx="235">
                  <c:v>128.80083507904396</c:v>
                </c:pt>
                <c:pt idx="236">
                  <c:v>128.75869559903933</c:v>
                </c:pt>
                <c:pt idx="237">
                  <c:v>128.71662682812797</c:v>
                </c:pt>
                <c:pt idx="238">
                  <c:v>128.67462876630989</c:v>
                </c:pt>
                <c:pt idx="239">
                  <c:v>128.63270141358512</c:v>
                </c:pt>
                <c:pt idx="240">
                  <c:v>128.59084476995363</c:v>
                </c:pt>
                <c:pt idx="241">
                  <c:v>128.54905883541542</c:v>
                </c:pt>
                <c:pt idx="242">
                  <c:v>128.50735862541504</c:v>
                </c:pt>
                <c:pt idx="243">
                  <c:v>128.46575915539694</c:v>
                </c:pt>
                <c:pt idx="244">
                  <c:v>128.42426042536118</c:v>
                </c:pt>
                <c:pt idx="245">
                  <c:v>128.38286243530774</c:v>
                </c:pt>
                <c:pt idx="246">
                  <c:v>128.34156518523665</c:v>
                </c:pt>
                <c:pt idx="247">
                  <c:v>128.30036867514784</c:v>
                </c:pt>
                <c:pt idx="248">
                  <c:v>128.25927290504137</c:v>
                </c:pt>
                <c:pt idx="249">
                  <c:v>128.21827787491722</c:v>
                </c:pt>
                <c:pt idx="250">
                  <c:v>128.17738358477544</c:v>
                </c:pt>
                <c:pt idx="251">
                  <c:v>128.13659003461595</c:v>
                </c:pt>
                <c:pt idx="252">
                  <c:v>128.0958972244388</c:v>
                </c:pt>
                <c:pt idx="253">
                  <c:v>128.05530515424397</c:v>
                </c:pt>
                <c:pt idx="254">
                  <c:v>128.01481382403145</c:v>
                </c:pt>
                <c:pt idx="255">
                  <c:v>127.97442323380126</c:v>
                </c:pt>
                <c:pt idx="256">
                  <c:v>127.9341333835534</c:v>
                </c:pt>
                <c:pt idx="257">
                  <c:v>127.89394427328786</c:v>
                </c:pt>
                <c:pt idx="258">
                  <c:v>127.85385590300464</c:v>
                </c:pt>
                <c:pt idx="259">
                  <c:v>127.81386827270374</c:v>
                </c:pt>
                <c:pt idx="260">
                  <c:v>127.77398138238517</c:v>
                </c:pt>
                <c:pt idx="261">
                  <c:v>127.73419523204893</c:v>
                </c:pt>
                <c:pt idx="262">
                  <c:v>127.69450982169501</c:v>
                </c:pt>
                <c:pt idx="263">
                  <c:v>127.65492515132341</c:v>
                </c:pt>
                <c:pt idx="264">
                  <c:v>127.61544122093413</c:v>
                </c:pt>
                <c:pt idx="265">
                  <c:v>127.57605803052718</c:v>
                </c:pt>
                <c:pt idx="266">
                  <c:v>127.53677558010254</c:v>
                </c:pt>
                <c:pt idx="267">
                  <c:v>127.49759386966025</c:v>
                </c:pt>
                <c:pt idx="268">
                  <c:v>127.45851289920029</c:v>
                </c:pt>
                <c:pt idx="269">
                  <c:v>127.41953266872264</c:v>
                </c:pt>
                <c:pt idx="270">
                  <c:v>127.38065317822732</c:v>
                </c:pt>
                <c:pt idx="271">
                  <c:v>127.34187442771433</c:v>
                </c:pt>
                <c:pt idx="272">
                  <c:v>127.30319641718366</c:v>
                </c:pt>
                <c:pt idx="273">
                  <c:v>127.2646191466353</c:v>
                </c:pt>
                <c:pt idx="274">
                  <c:v>127.22614261606927</c:v>
                </c:pt>
                <c:pt idx="275">
                  <c:v>127.18776682548557</c:v>
                </c:pt>
                <c:pt idx="276">
                  <c:v>127.14949177488418</c:v>
                </c:pt>
                <c:pt idx="277">
                  <c:v>127.11131746426513</c:v>
                </c:pt>
                <c:pt idx="278">
                  <c:v>127.0732438936284</c:v>
                </c:pt>
                <c:pt idx="279">
                  <c:v>127.03527106297399</c:v>
                </c:pt>
                <c:pt idx="280">
                  <c:v>126.99739897230189</c:v>
                </c:pt>
                <c:pt idx="281">
                  <c:v>126.95962762161213</c:v>
                </c:pt>
                <c:pt idx="282">
                  <c:v>126.92195701090469</c:v>
                </c:pt>
                <c:pt idx="283">
                  <c:v>126.88438714017957</c:v>
                </c:pt>
                <c:pt idx="284">
                  <c:v>126.84690063442241</c:v>
                </c:pt>
                <c:pt idx="285">
                  <c:v>126.80948011861884</c:v>
                </c:pt>
                <c:pt idx="286">
                  <c:v>126.77212559276882</c:v>
                </c:pt>
                <c:pt idx="287">
                  <c:v>126.73483705687241</c:v>
                </c:pt>
                <c:pt idx="288">
                  <c:v>126.69761451092955</c:v>
                </c:pt>
                <c:pt idx="289">
                  <c:v>126.66045795494028</c:v>
                </c:pt>
                <c:pt idx="290">
                  <c:v>126.6233673889046</c:v>
                </c:pt>
                <c:pt idx="291">
                  <c:v>126.58634281282248</c:v>
                </c:pt>
                <c:pt idx="292">
                  <c:v>126.54938422669395</c:v>
                </c:pt>
                <c:pt idx="293">
                  <c:v>126.51249163051899</c:v>
                </c:pt>
                <c:pt idx="294">
                  <c:v>126.47566502429763</c:v>
                </c:pt>
                <c:pt idx="295">
                  <c:v>126.43890440802981</c:v>
                </c:pt>
                <c:pt idx="296">
                  <c:v>126.4022097817156</c:v>
                </c:pt>
                <c:pt idx="297">
                  <c:v>126.36558114535495</c:v>
                </c:pt>
                <c:pt idx="298">
                  <c:v>126.3290184989479</c:v>
                </c:pt>
                <c:pt idx="299">
                  <c:v>126.29252184249441</c:v>
                </c:pt>
                <c:pt idx="300">
                  <c:v>126.2560911759945</c:v>
                </c:pt>
                <c:pt idx="301">
                  <c:v>126.21972649944817</c:v>
                </c:pt>
                <c:pt idx="302">
                  <c:v>126.18342781285543</c:v>
                </c:pt>
                <c:pt idx="303">
                  <c:v>126.14719511621625</c:v>
                </c:pt>
                <c:pt idx="304">
                  <c:v>126.11102840953066</c:v>
                </c:pt>
                <c:pt idx="305">
                  <c:v>126.07492769279864</c:v>
                </c:pt>
                <c:pt idx="306">
                  <c:v>126.0388929660202</c:v>
                </c:pt>
                <c:pt idx="307">
                  <c:v>126.00292422919534</c:v>
                </c:pt>
                <c:pt idx="308">
                  <c:v>125.96702148232407</c:v>
                </c:pt>
                <c:pt idx="309">
                  <c:v>125.93118472540637</c:v>
                </c:pt>
                <c:pt idx="310">
                  <c:v>125.89541395844223</c:v>
                </c:pt>
                <c:pt idx="311">
                  <c:v>125.85970918143168</c:v>
                </c:pt>
                <c:pt idx="312">
                  <c:v>125.82407039437473</c:v>
                </c:pt>
                <c:pt idx="313">
                  <c:v>125.78849759727134</c:v>
                </c:pt>
                <c:pt idx="314">
                  <c:v>125.75299079012153</c:v>
                </c:pt>
                <c:pt idx="315">
                  <c:v>125.7175499729253</c:v>
                </c:pt>
                <c:pt idx="316">
                  <c:v>125.68217514568263</c:v>
                </c:pt>
                <c:pt idx="317">
                  <c:v>125.64686630839356</c:v>
                </c:pt>
                <c:pt idx="318">
                  <c:v>125.61162346105807</c:v>
                </c:pt>
                <c:pt idx="319">
                  <c:v>125.57644660367615</c:v>
                </c:pt>
                <c:pt idx="320">
                  <c:v>125.5413357362478</c:v>
                </c:pt>
                <c:pt idx="321">
                  <c:v>125.50629085877303</c:v>
                </c:pt>
                <c:pt idx="322">
                  <c:v>125.47131197125185</c:v>
                </c:pt>
                <c:pt idx="323">
                  <c:v>125.43639907368426</c:v>
                </c:pt>
                <c:pt idx="324">
                  <c:v>125.40155216607023</c:v>
                </c:pt>
                <c:pt idx="325">
                  <c:v>125.36677124840978</c:v>
                </c:pt>
                <c:pt idx="326">
                  <c:v>125.33205526767172</c:v>
                </c:pt>
                <c:pt idx="327">
                  <c:v>125.29740317082489</c:v>
                </c:pt>
                <c:pt idx="328">
                  <c:v>125.26281495786932</c:v>
                </c:pt>
                <c:pt idx="329">
                  <c:v>125.22829062880497</c:v>
                </c:pt>
                <c:pt idx="330">
                  <c:v>125.19383018363186</c:v>
                </c:pt>
                <c:pt idx="331">
                  <c:v>125.15943362234997</c:v>
                </c:pt>
                <c:pt idx="332">
                  <c:v>125.1251009449593</c:v>
                </c:pt>
                <c:pt idx="333">
                  <c:v>125.09083215145986</c:v>
                </c:pt>
                <c:pt idx="334">
                  <c:v>125.05662724185166</c:v>
                </c:pt>
                <c:pt idx="335">
                  <c:v>125.02248621613468</c:v>
                </c:pt>
                <c:pt idx="336">
                  <c:v>124.98840907430893</c:v>
                </c:pt>
                <c:pt idx="337">
                  <c:v>124.95439581637442</c:v>
                </c:pt>
                <c:pt idx="338">
                  <c:v>124.92044644233113</c:v>
                </c:pt>
                <c:pt idx="339">
                  <c:v>124.88656095217907</c:v>
                </c:pt>
                <c:pt idx="340">
                  <c:v>124.85273934591825</c:v>
                </c:pt>
                <c:pt idx="341">
                  <c:v>124.81898162354865</c:v>
                </c:pt>
                <c:pt idx="342">
                  <c:v>124.7852877850703</c:v>
                </c:pt>
                <c:pt idx="343">
                  <c:v>124.75165783048317</c:v>
                </c:pt>
                <c:pt idx="344">
                  <c:v>124.71809175978726</c:v>
                </c:pt>
                <c:pt idx="345">
                  <c:v>124.68458957298259</c:v>
                </c:pt>
                <c:pt idx="346">
                  <c:v>124.65115127006915</c:v>
                </c:pt>
                <c:pt idx="347">
                  <c:v>124.61777685104693</c:v>
                </c:pt>
                <c:pt idx="348">
                  <c:v>124.58446631591593</c:v>
                </c:pt>
                <c:pt idx="349">
                  <c:v>124.55121966467618</c:v>
                </c:pt>
                <c:pt idx="350">
                  <c:v>124.51803689732765</c:v>
                </c:pt>
                <c:pt idx="351">
                  <c:v>124.48491801387036</c:v>
                </c:pt>
                <c:pt idx="352">
                  <c:v>124.45186301430431</c:v>
                </c:pt>
                <c:pt idx="353">
                  <c:v>124.41887189862948</c:v>
                </c:pt>
                <c:pt idx="354">
                  <c:v>124.38594466684587</c:v>
                </c:pt>
                <c:pt idx="355">
                  <c:v>124.3530813189535</c:v>
                </c:pt>
                <c:pt idx="356">
                  <c:v>124.32028185495236</c:v>
                </c:pt>
                <c:pt idx="357">
                  <c:v>124.28754627484244</c:v>
                </c:pt>
                <c:pt idx="358">
                  <c:v>124.25487457862376</c:v>
                </c:pt>
                <c:pt idx="359">
                  <c:v>124.2222667662963</c:v>
                </c:pt>
                <c:pt idx="360">
                  <c:v>124.18972283786007</c:v>
                </c:pt>
                <c:pt idx="361">
                  <c:v>124.15724279331508</c:v>
                </c:pt>
                <c:pt idx="362">
                  <c:v>124.12482663266131</c:v>
                </c:pt>
                <c:pt idx="363">
                  <c:v>124.09247435589877</c:v>
                </c:pt>
                <c:pt idx="364">
                  <c:v>124.06018596302748</c:v>
                </c:pt>
                <c:pt idx="365">
                  <c:v>124.02796145404741</c:v>
                </c:pt>
                <c:pt idx="366">
                  <c:v>123.99577445637783</c:v>
                </c:pt>
                <c:pt idx="367">
                  <c:v>123.96359859743801</c:v>
                </c:pt>
                <c:pt idx="368">
                  <c:v>123.93143387722793</c:v>
                </c:pt>
                <c:pt idx="369">
                  <c:v>123.8992802957476</c:v>
                </c:pt>
                <c:pt idx="370">
                  <c:v>123.86713785299703</c:v>
                </c:pt>
                <c:pt idx="371">
                  <c:v>123.83500654897621</c:v>
                </c:pt>
                <c:pt idx="372">
                  <c:v>123.80288638368515</c:v>
                </c:pt>
                <c:pt idx="373">
                  <c:v>123.77077735712385</c:v>
                </c:pt>
                <c:pt idx="374">
                  <c:v>123.73867946929229</c:v>
                </c:pt>
                <c:pt idx="375">
                  <c:v>123.70659272019049</c:v>
                </c:pt>
                <c:pt idx="376">
                  <c:v>123.67451710981842</c:v>
                </c:pt>
                <c:pt idx="377">
                  <c:v>123.64245263817612</c:v>
                </c:pt>
                <c:pt idx="378">
                  <c:v>123.61039930526358</c:v>
                </c:pt>
                <c:pt idx="379">
                  <c:v>123.57835711108078</c:v>
                </c:pt>
                <c:pt idx="380">
                  <c:v>123.54632605562773</c:v>
                </c:pt>
                <c:pt idx="381">
                  <c:v>123.51433447714338</c:v>
                </c:pt>
                <c:pt idx="382">
                  <c:v>123.48241071386664</c:v>
                </c:pt>
                <c:pt idx="383">
                  <c:v>123.45055476579751</c:v>
                </c:pt>
                <c:pt idx="384">
                  <c:v>123.41876663293598</c:v>
                </c:pt>
                <c:pt idx="385">
                  <c:v>123.38704631528208</c:v>
                </c:pt>
                <c:pt idx="386">
                  <c:v>123.35539381283579</c:v>
                </c:pt>
                <c:pt idx="387">
                  <c:v>123.32380912559711</c:v>
                </c:pt>
                <c:pt idx="388">
                  <c:v>123.29229225356606</c:v>
                </c:pt>
                <c:pt idx="389">
                  <c:v>123.2608431967426</c:v>
                </c:pt>
                <c:pt idx="390">
                  <c:v>123.22946195512677</c:v>
                </c:pt>
                <c:pt idx="391">
                  <c:v>123.19814852871853</c:v>
                </c:pt>
                <c:pt idx="392">
                  <c:v>123.16690291751793</c:v>
                </c:pt>
                <c:pt idx="393">
                  <c:v>123.13572512152493</c:v>
                </c:pt>
                <c:pt idx="394">
                  <c:v>123.10461514073954</c:v>
                </c:pt>
                <c:pt idx="395">
                  <c:v>123.07357297516178</c:v>
                </c:pt>
                <c:pt idx="396">
                  <c:v>123.04259862479162</c:v>
                </c:pt>
                <c:pt idx="397">
                  <c:v>123.01169208962908</c:v>
                </c:pt>
                <c:pt idx="398">
                  <c:v>122.98085336967415</c:v>
                </c:pt>
                <c:pt idx="399">
                  <c:v>122.95008246492682</c:v>
                </c:pt>
                <c:pt idx="400">
                  <c:v>122.91937937538712</c:v>
                </c:pt>
                <c:pt idx="401">
                  <c:v>122.88876621470969</c:v>
                </c:pt>
                <c:pt idx="402">
                  <c:v>122.85826509654918</c:v>
                </c:pt>
                <c:pt idx="403">
                  <c:v>122.82787602090561</c:v>
                </c:pt>
                <c:pt idx="404">
                  <c:v>122.79759898777895</c:v>
                </c:pt>
                <c:pt idx="405">
                  <c:v>122.76743399716923</c:v>
                </c:pt>
                <c:pt idx="406">
                  <c:v>122.73738104907643</c:v>
                </c:pt>
                <c:pt idx="407">
                  <c:v>122.70744014350055</c:v>
                </c:pt>
                <c:pt idx="408">
                  <c:v>122.67761128044161</c:v>
                </c:pt>
                <c:pt idx="409">
                  <c:v>122.64789445989959</c:v>
                </c:pt>
                <c:pt idx="410">
                  <c:v>122.61828968187449</c:v>
                </c:pt>
                <c:pt idx="411">
                  <c:v>122.58891865336936</c:v>
                </c:pt>
                <c:pt idx="412">
                  <c:v>122.55990308138723</c:v>
                </c:pt>
                <c:pt idx="413">
                  <c:v>122.5312429659281</c:v>
                </c:pt>
                <c:pt idx="414">
                  <c:v>122.50293830699196</c:v>
                </c:pt>
                <c:pt idx="415">
                  <c:v>122.47498910457881</c:v>
                </c:pt>
                <c:pt idx="416">
                  <c:v>122.44739535868867</c:v>
                </c:pt>
                <c:pt idx="417">
                  <c:v>122.42015706932152</c:v>
                </c:pt>
                <c:pt idx="418">
                  <c:v>122.39327423647737</c:v>
                </c:pt>
                <c:pt idx="419">
                  <c:v>122.36674686015621</c:v>
                </c:pt>
                <c:pt idx="420">
                  <c:v>122.34064394315082</c:v>
                </c:pt>
                <c:pt idx="421">
                  <c:v>122.31503448825399</c:v>
                </c:pt>
                <c:pt idx="422">
                  <c:v>122.28991849546568</c:v>
                </c:pt>
                <c:pt idx="423">
                  <c:v>122.26529596478592</c:v>
                </c:pt>
                <c:pt idx="424">
                  <c:v>122.24116689621469</c:v>
                </c:pt>
                <c:pt idx="425">
                  <c:v>122.217531289752</c:v>
                </c:pt>
                <c:pt idx="426">
                  <c:v>122.19438914539786</c:v>
                </c:pt>
                <c:pt idx="427">
                  <c:v>122.17174046315225</c:v>
                </c:pt>
                <c:pt idx="428">
                  <c:v>122.14958524301518</c:v>
                </c:pt>
                <c:pt idx="429">
                  <c:v>122.12792348498667</c:v>
                </c:pt>
                <c:pt idx="430">
                  <c:v>122.10675518906669</c:v>
                </c:pt>
                <c:pt idx="431">
                  <c:v>122.08608035525523</c:v>
                </c:pt>
                <c:pt idx="432">
                  <c:v>122.06600975658168</c:v>
                </c:pt>
                <c:pt idx="433">
                  <c:v>122.04665416607534</c:v>
                </c:pt>
                <c:pt idx="434">
                  <c:v>122.02801358373623</c:v>
                </c:pt>
                <c:pt idx="435">
                  <c:v>122.01008800956436</c:v>
                </c:pt>
                <c:pt idx="436">
                  <c:v>121.99287744355972</c:v>
                </c:pt>
                <c:pt idx="437">
                  <c:v>121.97638188572229</c:v>
                </c:pt>
                <c:pt idx="438">
                  <c:v>121.96060133605209</c:v>
                </c:pt>
                <c:pt idx="439">
                  <c:v>121.94553579454913</c:v>
                </c:pt>
                <c:pt idx="440">
                  <c:v>121.9311852612134</c:v>
                </c:pt>
                <c:pt idx="441">
                  <c:v>121.91754973604489</c:v>
                </c:pt>
                <c:pt idx="442">
                  <c:v>121.90456209628378</c:v>
                </c:pt>
                <c:pt idx="443">
                  <c:v>121.89215521917021</c:v>
                </c:pt>
                <c:pt idx="444">
                  <c:v>121.88032910470417</c:v>
                </c:pt>
                <c:pt idx="445">
                  <c:v>121.8690837528857</c:v>
                </c:pt>
                <c:pt idx="446">
                  <c:v>121.85841916371477</c:v>
                </c:pt>
                <c:pt idx="447">
                  <c:v>121.84833533719139</c:v>
                </c:pt>
                <c:pt idx="448">
                  <c:v>121.83883227331553</c:v>
                </c:pt>
                <c:pt idx="449">
                  <c:v>121.82990997208724</c:v>
                </c:pt>
                <c:pt idx="450">
                  <c:v>121.82156843350647</c:v>
                </c:pt>
                <c:pt idx="451">
                  <c:v>121.81380765757326</c:v>
                </c:pt>
                <c:pt idx="452">
                  <c:v>121.8066276442876</c:v>
                </c:pt>
                <c:pt idx="453">
                  <c:v>121.79993242820623</c:v>
                </c:pt>
                <c:pt idx="454">
                  <c:v>121.79362604388592</c:v>
                </c:pt>
                <c:pt idx="455">
                  <c:v>121.78770849132664</c:v>
                </c:pt>
                <c:pt idx="456">
                  <c:v>121.7821797705284</c:v>
                </c:pt>
                <c:pt idx="457">
                  <c:v>121.77703988149122</c:v>
                </c:pt>
                <c:pt idx="458">
                  <c:v>121.77228882421508</c:v>
                </c:pt>
                <c:pt idx="459">
                  <c:v>121.76792659869999</c:v>
                </c:pt>
                <c:pt idx="460">
                  <c:v>121.76395320494593</c:v>
                </c:pt>
                <c:pt idx="461">
                  <c:v>121.76028233827293</c:v>
                </c:pt>
                <c:pt idx="462">
                  <c:v>121.75682769400102</c:v>
                </c:pt>
                <c:pt idx="463">
                  <c:v>121.7535892721302</c:v>
                </c:pt>
                <c:pt idx="464">
                  <c:v>121.75056707266047</c:v>
                </c:pt>
                <c:pt idx="465">
                  <c:v>121.74776109559183</c:v>
                </c:pt>
                <c:pt idx="466">
                  <c:v>121.7452438245701</c:v>
                </c:pt>
                <c:pt idx="467">
                  <c:v>121.74308774324108</c:v>
                </c:pt>
                <c:pt idx="468">
                  <c:v>121.74209999999975</c:v>
                </c:pt>
                <c:pt idx="469">
                  <c:v>121.74209999999975</c:v>
                </c:pt>
                <c:pt idx="470">
                  <c:v>121.74209999999975</c:v>
                </c:pt>
                <c:pt idx="471">
                  <c:v>121.74209999999975</c:v>
                </c:pt>
                <c:pt idx="472">
                  <c:v>121.74209999999975</c:v>
                </c:pt>
                <c:pt idx="473">
                  <c:v>121.74209999999975</c:v>
                </c:pt>
                <c:pt idx="474">
                  <c:v>121.74209999999975</c:v>
                </c:pt>
                <c:pt idx="475">
                  <c:v>121.74209999999975</c:v>
                </c:pt>
                <c:pt idx="476">
                  <c:v>121.74209999999975</c:v>
                </c:pt>
                <c:pt idx="477">
                  <c:v>121.74209999999975</c:v>
                </c:pt>
                <c:pt idx="478">
                  <c:v>121.74209999999975</c:v>
                </c:pt>
                <c:pt idx="479">
                  <c:v>121.74209999999975</c:v>
                </c:pt>
                <c:pt idx="480">
                  <c:v>121.74209999999975</c:v>
                </c:pt>
                <c:pt idx="481">
                  <c:v>121.74209999999975</c:v>
                </c:pt>
                <c:pt idx="482">
                  <c:v>121.74209999999975</c:v>
                </c:pt>
                <c:pt idx="483">
                  <c:v>121.74209999999975</c:v>
                </c:pt>
                <c:pt idx="484">
                  <c:v>121.74209999999975</c:v>
                </c:pt>
                <c:pt idx="485">
                  <c:v>121.74209999999975</c:v>
                </c:pt>
                <c:pt idx="486">
                  <c:v>121.74209999999975</c:v>
                </c:pt>
                <c:pt idx="487">
                  <c:v>121.74209999999975</c:v>
                </c:pt>
                <c:pt idx="488">
                  <c:v>121.74209999999975</c:v>
                </c:pt>
                <c:pt idx="489">
                  <c:v>121.74209999999975</c:v>
                </c:pt>
                <c:pt idx="490">
                  <c:v>121.74209999999975</c:v>
                </c:pt>
                <c:pt idx="491">
                  <c:v>121.74209999999975</c:v>
                </c:pt>
                <c:pt idx="492">
                  <c:v>121.74209999999975</c:v>
                </c:pt>
                <c:pt idx="493">
                  <c:v>121.74209999999975</c:v>
                </c:pt>
                <c:pt idx="494">
                  <c:v>121.74209999999975</c:v>
                </c:pt>
                <c:pt idx="495">
                  <c:v>121.74209999999975</c:v>
                </c:pt>
                <c:pt idx="496">
                  <c:v>121.74209999999975</c:v>
                </c:pt>
                <c:pt idx="497">
                  <c:v>121.74209999999975</c:v>
                </c:pt>
                <c:pt idx="498">
                  <c:v>121.74209999999975</c:v>
                </c:pt>
                <c:pt idx="499">
                  <c:v>121.74209999999975</c:v>
                </c:pt>
                <c:pt idx="500">
                  <c:v>121.74209999999975</c:v>
                </c:pt>
                <c:pt idx="501">
                  <c:v>121.74209999999975</c:v>
                </c:pt>
                <c:pt idx="502">
                  <c:v>121.74209999999975</c:v>
                </c:pt>
                <c:pt idx="503">
                  <c:v>121.74209999999975</c:v>
                </c:pt>
                <c:pt idx="504">
                  <c:v>121.74209999999975</c:v>
                </c:pt>
                <c:pt idx="505">
                  <c:v>121.74209999999975</c:v>
                </c:pt>
                <c:pt idx="506">
                  <c:v>121.74209999999975</c:v>
                </c:pt>
                <c:pt idx="507">
                  <c:v>121.74209999999975</c:v>
                </c:pt>
                <c:pt idx="508">
                  <c:v>121.74209999999975</c:v>
                </c:pt>
                <c:pt idx="509">
                  <c:v>121.74209999999975</c:v>
                </c:pt>
                <c:pt idx="510">
                  <c:v>121.74209999999975</c:v>
                </c:pt>
                <c:pt idx="511">
                  <c:v>121.74209999999975</c:v>
                </c:pt>
                <c:pt idx="512">
                  <c:v>121.74209999999975</c:v>
                </c:pt>
                <c:pt idx="513">
                  <c:v>121.74209999999975</c:v>
                </c:pt>
                <c:pt idx="514">
                  <c:v>121.74209999999975</c:v>
                </c:pt>
                <c:pt idx="515">
                  <c:v>121.74209999999975</c:v>
                </c:pt>
                <c:pt idx="516">
                  <c:v>121.74209999999975</c:v>
                </c:pt>
                <c:pt idx="517">
                  <c:v>121.74209999999975</c:v>
                </c:pt>
                <c:pt idx="518">
                  <c:v>121.74209999999975</c:v>
                </c:pt>
                <c:pt idx="519">
                  <c:v>121.74209999999975</c:v>
                </c:pt>
                <c:pt idx="520">
                  <c:v>121.74209999999975</c:v>
                </c:pt>
                <c:pt idx="521">
                  <c:v>121.74209999999975</c:v>
                </c:pt>
                <c:pt idx="522">
                  <c:v>121.74209999999975</c:v>
                </c:pt>
                <c:pt idx="523">
                  <c:v>121.74209999999975</c:v>
                </c:pt>
                <c:pt idx="524">
                  <c:v>121.74209999999975</c:v>
                </c:pt>
                <c:pt idx="525">
                  <c:v>121.74209999999975</c:v>
                </c:pt>
                <c:pt idx="526">
                  <c:v>121.74209999999975</c:v>
                </c:pt>
                <c:pt idx="527">
                  <c:v>121.74209999999975</c:v>
                </c:pt>
                <c:pt idx="528">
                  <c:v>121.74209999999975</c:v>
                </c:pt>
                <c:pt idx="529">
                  <c:v>121.74209999999975</c:v>
                </c:pt>
                <c:pt idx="530">
                  <c:v>121.74209999999975</c:v>
                </c:pt>
                <c:pt idx="531">
                  <c:v>121.74209999999975</c:v>
                </c:pt>
                <c:pt idx="532">
                  <c:v>121.74209999999975</c:v>
                </c:pt>
                <c:pt idx="533">
                  <c:v>121.74209999999975</c:v>
                </c:pt>
                <c:pt idx="534">
                  <c:v>121.74209999999975</c:v>
                </c:pt>
                <c:pt idx="535">
                  <c:v>121.74209999999975</c:v>
                </c:pt>
                <c:pt idx="536">
                  <c:v>121.74209999999975</c:v>
                </c:pt>
                <c:pt idx="537">
                  <c:v>121.74209999999975</c:v>
                </c:pt>
                <c:pt idx="538">
                  <c:v>121.74209999999975</c:v>
                </c:pt>
                <c:pt idx="539">
                  <c:v>121.74209999999975</c:v>
                </c:pt>
                <c:pt idx="540">
                  <c:v>121.74209999999975</c:v>
                </c:pt>
                <c:pt idx="541">
                  <c:v>121.74209999999975</c:v>
                </c:pt>
                <c:pt idx="542">
                  <c:v>121.74209999999975</c:v>
                </c:pt>
                <c:pt idx="543">
                  <c:v>121.74209999999975</c:v>
                </c:pt>
                <c:pt idx="544">
                  <c:v>121.74209999999975</c:v>
                </c:pt>
                <c:pt idx="545">
                  <c:v>121.74209999999975</c:v>
                </c:pt>
                <c:pt idx="546">
                  <c:v>121.74209999999975</c:v>
                </c:pt>
                <c:pt idx="547">
                  <c:v>121.74209999999975</c:v>
                </c:pt>
                <c:pt idx="548">
                  <c:v>121.74209999999975</c:v>
                </c:pt>
                <c:pt idx="549">
                  <c:v>121.74209999999975</c:v>
                </c:pt>
                <c:pt idx="550">
                  <c:v>121.74209999999975</c:v>
                </c:pt>
                <c:pt idx="551">
                  <c:v>121.74209999999975</c:v>
                </c:pt>
                <c:pt idx="552">
                  <c:v>121.74209999999975</c:v>
                </c:pt>
                <c:pt idx="553">
                  <c:v>121.74209999999975</c:v>
                </c:pt>
                <c:pt idx="554">
                  <c:v>121.74209999999975</c:v>
                </c:pt>
                <c:pt idx="555">
                  <c:v>121.74209999999975</c:v>
                </c:pt>
                <c:pt idx="556">
                  <c:v>121.74209999999975</c:v>
                </c:pt>
                <c:pt idx="557">
                  <c:v>121.74209999999975</c:v>
                </c:pt>
                <c:pt idx="558">
                  <c:v>121.74209999999975</c:v>
                </c:pt>
                <c:pt idx="559">
                  <c:v>121.74209999999975</c:v>
                </c:pt>
                <c:pt idx="560">
                  <c:v>121.74209999999975</c:v>
                </c:pt>
                <c:pt idx="561">
                  <c:v>121.74209999999975</c:v>
                </c:pt>
                <c:pt idx="562">
                  <c:v>121.74209999999975</c:v>
                </c:pt>
                <c:pt idx="563">
                  <c:v>121.74209999999975</c:v>
                </c:pt>
                <c:pt idx="564">
                  <c:v>121.74209999999975</c:v>
                </c:pt>
                <c:pt idx="565">
                  <c:v>121.74209999999975</c:v>
                </c:pt>
                <c:pt idx="566">
                  <c:v>121.74209999999975</c:v>
                </c:pt>
                <c:pt idx="567">
                  <c:v>121.74209999999975</c:v>
                </c:pt>
                <c:pt idx="568">
                  <c:v>121.74209999999975</c:v>
                </c:pt>
                <c:pt idx="569">
                  <c:v>121.74209999999975</c:v>
                </c:pt>
                <c:pt idx="570">
                  <c:v>121.74209999999975</c:v>
                </c:pt>
                <c:pt idx="571">
                  <c:v>121.74209999999975</c:v>
                </c:pt>
                <c:pt idx="572">
                  <c:v>121.74209999999975</c:v>
                </c:pt>
                <c:pt idx="573">
                  <c:v>121.74209999999975</c:v>
                </c:pt>
                <c:pt idx="574">
                  <c:v>121.74209999999975</c:v>
                </c:pt>
                <c:pt idx="575">
                  <c:v>121.74209999999975</c:v>
                </c:pt>
                <c:pt idx="576">
                  <c:v>121.74209999999975</c:v>
                </c:pt>
                <c:pt idx="577">
                  <c:v>121.74209999999975</c:v>
                </c:pt>
                <c:pt idx="578">
                  <c:v>121.74209999999975</c:v>
                </c:pt>
                <c:pt idx="579">
                  <c:v>121.74209999999975</c:v>
                </c:pt>
                <c:pt idx="580">
                  <c:v>121.74209999999975</c:v>
                </c:pt>
                <c:pt idx="581">
                  <c:v>121.74209999999975</c:v>
                </c:pt>
                <c:pt idx="582">
                  <c:v>121.74209999999975</c:v>
                </c:pt>
                <c:pt idx="583">
                  <c:v>121.74209999999975</c:v>
                </c:pt>
                <c:pt idx="584">
                  <c:v>121.74209999999975</c:v>
                </c:pt>
                <c:pt idx="585">
                  <c:v>121.74209999999975</c:v>
                </c:pt>
                <c:pt idx="586">
                  <c:v>121.74209999999975</c:v>
                </c:pt>
                <c:pt idx="587">
                  <c:v>121.74209999999975</c:v>
                </c:pt>
                <c:pt idx="588">
                  <c:v>121.74209999999975</c:v>
                </c:pt>
                <c:pt idx="589">
                  <c:v>121.74209999999975</c:v>
                </c:pt>
                <c:pt idx="590">
                  <c:v>121.74209999999975</c:v>
                </c:pt>
                <c:pt idx="591">
                  <c:v>121.74209999999975</c:v>
                </c:pt>
                <c:pt idx="592">
                  <c:v>121.74209999999975</c:v>
                </c:pt>
                <c:pt idx="593">
                  <c:v>121.74209999999975</c:v>
                </c:pt>
                <c:pt idx="594">
                  <c:v>121.74209999999975</c:v>
                </c:pt>
                <c:pt idx="595">
                  <c:v>121.74209999999975</c:v>
                </c:pt>
                <c:pt idx="596">
                  <c:v>121.74209999999975</c:v>
                </c:pt>
                <c:pt idx="597">
                  <c:v>121.74209999999975</c:v>
                </c:pt>
                <c:pt idx="598">
                  <c:v>121.74209999999975</c:v>
                </c:pt>
                <c:pt idx="599">
                  <c:v>121.74209999999975</c:v>
                </c:pt>
                <c:pt idx="600">
                  <c:v>121.74209999999975</c:v>
                </c:pt>
                <c:pt idx="601">
                  <c:v>121.74209999999975</c:v>
                </c:pt>
                <c:pt idx="602">
                  <c:v>121.74209999999975</c:v>
                </c:pt>
                <c:pt idx="603">
                  <c:v>121.74209999999975</c:v>
                </c:pt>
                <c:pt idx="604">
                  <c:v>121.74209999999975</c:v>
                </c:pt>
                <c:pt idx="605">
                  <c:v>121.74209999999975</c:v>
                </c:pt>
                <c:pt idx="606">
                  <c:v>121.74209999999975</c:v>
                </c:pt>
                <c:pt idx="607">
                  <c:v>121.74209999999975</c:v>
                </c:pt>
                <c:pt idx="608">
                  <c:v>121.74209999999975</c:v>
                </c:pt>
                <c:pt idx="609">
                  <c:v>121.74209999999975</c:v>
                </c:pt>
                <c:pt idx="610">
                  <c:v>121.74209999999975</c:v>
                </c:pt>
                <c:pt idx="611">
                  <c:v>121.74209999999975</c:v>
                </c:pt>
                <c:pt idx="612">
                  <c:v>121.74209999999975</c:v>
                </c:pt>
                <c:pt idx="613">
                  <c:v>121.74209999999975</c:v>
                </c:pt>
                <c:pt idx="614">
                  <c:v>121.74209999999975</c:v>
                </c:pt>
                <c:pt idx="615">
                  <c:v>121.74209999999975</c:v>
                </c:pt>
                <c:pt idx="616">
                  <c:v>121.74209999999975</c:v>
                </c:pt>
                <c:pt idx="617">
                  <c:v>121.74209999999975</c:v>
                </c:pt>
                <c:pt idx="618">
                  <c:v>121.74209999999975</c:v>
                </c:pt>
                <c:pt idx="619">
                  <c:v>121.74209999999975</c:v>
                </c:pt>
                <c:pt idx="620">
                  <c:v>121.74209999999975</c:v>
                </c:pt>
                <c:pt idx="621">
                  <c:v>121.74209999999975</c:v>
                </c:pt>
                <c:pt idx="622">
                  <c:v>121.74209999999975</c:v>
                </c:pt>
                <c:pt idx="623">
                  <c:v>121.74209999999975</c:v>
                </c:pt>
                <c:pt idx="624">
                  <c:v>121.74209999999975</c:v>
                </c:pt>
                <c:pt idx="625">
                  <c:v>121.74209999999975</c:v>
                </c:pt>
                <c:pt idx="626">
                  <c:v>121.74209999999975</c:v>
                </c:pt>
                <c:pt idx="627">
                  <c:v>121.74209999999975</c:v>
                </c:pt>
                <c:pt idx="628">
                  <c:v>121.74209999999975</c:v>
                </c:pt>
                <c:pt idx="629">
                  <c:v>121.74209999999975</c:v>
                </c:pt>
                <c:pt idx="630">
                  <c:v>121.74209999999975</c:v>
                </c:pt>
                <c:pt idx="631">
                  <c:v>121.74209999999975</c:v>
                </c:pt>
                <c:pt idx="632">
                  <c:v>121.74209999999975</c:v>
                </c:pt>
                <c:pt idx="633">
                  <c:v>121.74209999999975</c:v>
                </c:pt>
                <c:pt idx="634">
                  <c:v>121.74209999999975</c:v>
                </c:pt>
                <c:pt idx="635">
                  <c:v>121.74209999999975</c:v>
                </c:pt>
                <c:pt idx="636">
                  <c:v>121.74209999999975</c:v>
                </c:pt>
                <c:pt idx="637">
                  <c:v>121.74209999999975</c:v>
                </c:pt>
                <c:pt idx="638">
                  <c:v>121.74209999999975</c:v>
                </c:pt>
                <c:pt idx="639">
                  <c:v>121.74209999999975</c:v>
                </c:pt>
                <c:pt idx="640">
                  <c:v>121.74209999999975</c:v>
                </c:pt>
                <c:pt idx="641">
                  <c:v>121.74209999999975</c:v>
                </c:pt>
                <c:pt idx="642">
                  <c:v>121.74209999999975</c:v>
                </c:pt>
                <c:pt idx="643">
                  <c:v>121.74209999999975</c:v>
                </c:pt>
                <c:pt idx="644">
                  <c:v>121.74209999999975</c:v>
                </c:pt>
                <c:pt idx="645">
                  <c:v>121.74209999999975</c:v>
                </c:pt>
                <c:pt idx="646">
                  <c:v>121.74209999999975</c:v>
                </c:pt>
                <c:pt idx="647">
                  <c:v>121.74209999999975</c:v>
                </c:pt>
                <c:pt idx="648">
                  <c:v>121.74209999999975</c:v>
                </c:pt>
                <c:pt idx="649">
                  <c:v>121.74209999999975</c:v>
                </c:pt>
                <c:pt idx="650">
                  <c:v>121.74209999999975</c:v>
                </c:pt>
                <c:pt idx="651">
                  <c:v>121.74209999999975</c:v>
                </c:pt>
                <c:pt idx="652">
                  <c:v>121.74209999999975</c:v>
                </c:pt>
                <c:pt idx="653">
                  <c:v>121.74209999999975</c:v>
                </c:pt>
                <c:pt idx="654">
                  <c:v>121.74209999999975</c:v>
                </c:pt>
                <c:pt idx="655">
                  <c:v>121.74209999999975</c:v>
                </c:pt>
                <c:pt idx="656">
                  <c:v>121.74209999999975</c:v>
                </c:pt>
                <c:pt idx="657">
                  <c:v>121.74209999999975</c:v>
                </c:pt>
                <c:pt idx="658">
                  <c:v>121.74209999999975</c:v>
                </c:pt>
                <c:pt idx="659">
                  <c:v>121.74209999999975</c:v>
                </c:pt>
                <c:pt idx="660">
                  <c:v>121.74209999999975</c:v>
                </c:pt>
                <c:pt idx="661">
                  <c:v>121.74209999999975</c:v>
                </c:pt>
                <c:pt idx="662">
                  <c:v>121.74209999999975</c:v>
                </c:pt>
                <c:pt idx="663">
                  <c:v>121.74209999999975</c:v>
                </c:pt>
                <c:pt idx="664">
                  <c:v>121.74209999999975</c:v>
                </c:pt>
                <c:pt idx="665">
                  <c:v>121.74209999999975</c:v>
                </c:pt>
                <c:pt idx="666">
                  <c:v>121.74209999999975</c:v>
                </c:pt>
                <c:pt idx="667">
                  <c:v>121.74209999999975</c:v>
                </c:pt>
                <c:pt idx="668">
                  <c:v>121.74209999999975</c:v>
                </c:pt>
                <c:pt idx="669">
                  <c:v>121.74209999999975</c:v>
                </c:pt>
                <c:pt idx="670">
                  <c:v>121.74209999999975</c:v>
                </c:pt>
                <c:pt idx="671">
                  <c:v>121.74209999999975</c:v>
                </c:pt>
                <c:pt idx="672">
                  <c:v>121.74209999999975</c:v>
                </c:pt>
                <c:pt idx="673">
                  <c:v>121.74209999999975</c:v>
                </c:pt>
                <c:pt idx="674">
                  <c:v>121.74209999999975</c:v>
                </c:pt>
                <c:pt idx="675">
                  <c:v>121.74209999999975</c:v>
                </c:pt>
                <c:pt idx="676">
                  <c:v>121.74209999999975</c:v>
                </c:pt>
                <c:pt idx="677">
                  <c:v>121.74209999999975</c:v>
                </c:pt>
                <c:pt idx="678">
                  <c:v>121.74209999999975</c:v>
                </c:pt>
                <c:pt idx="679">
                  <c:v>121.74209999999975</c:v>
                </c:pt>
                <c:pt idx="680">
                  <c:v>121.74209999999975</c:v>
                </c:pt>
                <c:pt idx="681">
                  <c:v>121.74209999999975</c:v>
                </c:pt>
                <c:pt idx="682">
                  <c:v>121.74209999999975</c:v>
                </c:pt>
                <c:pt idx="683">
                  <c:v>121.74209999999975</c:v>
                </c:pt>
                <c:pt idx="684">
                  <c:v>121.74209999999975</c:v>
                </c:pt>
                <c:pt idx="685">
                  <c:v>121.74209999999975</c:v>
                </c:pt>
                <c:pt idx="686">
                  <c:v>121.74209999999975</c:v>
                </c:pt>
                <c:pt idx="687">
                  <c:v>121.74209999999975</c:v>
                </c:pt>
                <c:pt idx="688">
                  <c:v>121.74209999999975</c:v>
                </c:pt>
                <c:pt idx="689">
                  <c:v>121.74209999999975</c:v>
                </c:pt>
                <c:pt idx="690">
                  <c:v>121.74209999999975</c:v>
                </c:pt>
                <c:pt idx="691">
                  <c:v>121.74209999999975</c:v>
                </c:pt>
                <c:pt idx="692">
                  <c:v>121.74209999999975</c:v>
                </c:pt>
                <c:pt idx="693">
                  <c:v>121.74209999999975</c:v>
                </c:pt>
                <c:pt idx="694">
                  <c:v>121.74209999999975</c:v>
                </c:pt>
                <c:pt idx="695">
                  <c:v>121.74209999999975</c:v>
                </c:pt>
                <c:pt idx="696">
                  <c:v>121.74209999999975</c:v>
                </c:pt>
                <c:pt idx="697">
                  <c:v>121.74209999999975</c:v>
                </c:pt>
                <c:pt idx="698">
                  <c:v>121.74209999999975</c:v>
                </c:pt>
                <c:pt idx="699">
                  <c:v>121.74209999999975</c:v>
                </c:pt>
                <c:pt idx="700">
                  <c:v>121.74209999999975</c:v>
                </c:pt>
                <c:pt idx="701">
                  <c:v>121.74209999999975</c:v>
                </c:pt>
                <c:pt idx="702">
                  <c:v>121.74209999999975</c:v>
                </c:pt>
                <c:pt idx="703">
                  <c:v>121.74209999999975</c:v>
                </c:pt>
                <c:pt idx="704">
                  <c:v>121.74209999999975</c:v>
                </c:pt>
                <c:pt idx="705">
                  <c:v>121.74209999999975</c:v>
                </c:pt>
                <c:pt idx="706">
                  <c:v>121.74209999999975</c:v>
                </c:pt>
                <c:pt idx="707">
                  <c:v>121.74209999999975</c:v>
                </c:pt>
                <c:pt idx="708">
                  <c:v>121.74209999999975</c:v>
                </c:pt>
                <c:pt idx="709">
                  <c:v>121.74209999999975</c:v>
                </c:pt>
                <c:pt idx="710">
                  <c:v>121.74209999999975</c:v>
                </c:pt>
                <c:pt idx="711">
                  <c:v>121.74209999999975</c:v>
                </c:pt>
                <c:pt idx="712">
                  <c:v>121.74209999999975</c:v>
                </c:pt>
                <c:pt idx="713">
                  <c:v>121.74209999999975</c:v>
                </c:pt>
                <c:pt idx="714">
                  <c:v>121.74209999999975</c:v>
                </c:pt>
                <c:pt idx="715">
                  <c:v>121.74209999999975</c:v>
                </c:pt>
                <c:pt idx="716">
                  <c:v>121.74209999999975</c:v>
                </c:pt>
                <c:pt idx="717">
                  <c:v>121.74209999999975</c:v>
                </c:pt>
                <c:pt idx="718">
                  <c:v>121.74209999999975</c:v>
                </c:pt>
                <c:pt idx="719">
                  <c:v>121.74209999999975</c:v>
                </c:pt>
                <c:pt idx="720">
                  <c:v>121.74209999999975</c:v>
                </c:pt>
                <c:pt idx="721">
                  <c:v>121.74209999999975</c:v>
                </c:pt>
                <c:pt idx="722">
                  <c:v>121.74209999999975</c:v>
                </c:pt>
                <c:pt idx="723">
                  <c:v>121.74209999999975</c:v>
                </c:pt>
                <c:pt idx="724">
                  <c:v>121.74209999999975</c:v>
                </c:pt>
                <c:pt idx="725">
                  <c:v>121.74209999999975</c:v>
                </c:pt>
                <c:pt idx="726">
                  <c:v>121.74209999999975</c:v>
                </c:pt>
                <c:pt idx="727">
                  <c:v>121.74209999999975</c:v>
                </c:pt>
                <c:pt idx="728">
                  <c:v>121.74209999999975</c:v>
                </c:pt>
                <c:pt idx="729">
                  <c:v>121.74209999999975</c:v>
                </c:pt>
                <c:pt idx="730">
                  <c:v>121.74209999999975</c:v>
                </c:pt>
                <c:pt idx="731">
                  <c:v>121.74209999999975</c:v>
                </c:pt>
                <c:pt idx="732">
                  <c:v>121.74209999999975</c:v>
                </c:pt>
                <c:pt idx="733">
                  <c:v>121.74209999999975</c:v>
                </c:pt>
                <c:pt idx="734">
                  <c:v>121.74209999999975</c:v>
                </c:pt>
                <c:pt idx="735">
                  <c:v>121.74209999999975</c:v>
                </c:pt>
                <c:pt idx="736">
                  <c:v>121.74209999999975</c:v>
                </c:pt>
                <c:pt idx="737">
                  <c:v>121.74209999999975</c:v>
                </c:pt>
                <c:pt idx="738">
                  <c:v>121.74209999999975</c:v>
                </c:pt>
                <c:pt idx="739">
                  <c:v>121.74209999999975</c:v>
                </c:pt>
                <c:pt idx="740">
                  <c:v>121.74209999999975</c:v>
                </c:pt>
                <c:pt idx="741">
                  <c:v>121.74209999999975</c:v>
                </c:pt>
                <c:pt idx="742">
                  <c:v>121.74209999999975</c:v>
                </c:pt>
                <c:pt idx="743">
                  <c:v>121.74209999999975</c:v>
                </c:pt>
                <c:pt idx="744">
                  <c:v>121.74209999999975</c:v>
                </c:pt>
                <c:pt idx="745">
                  <c:v>121.74209999999975</c:v>
                </c:pt>
                <c:pt idx="746">
                  <c:v>121.74209999999975</c:v>
                </c:pt>
                <c:pt idx="747">
                  <c:v>121.74209999999975</c:v>
                </c:pt>
                <c:pt idx="748">
                  <c:v>121.74209999999975</c:v>
                </c:pt>
                <c:pt idx="749">
                  <c:v>121.74209999999975</c:v>
                </c:pt>
                <c:pt idx="750">
                  <c:v>121.74209999999975</c:v>
                </c:pt>
                <c:pt idx="751">
                  <c:v>121.74209999999975</c:v>
                </c:pt>
                <c:pt idx="752">
                  <c:v>121.74209999999975</c:v>
                </c:pt>
                <c:pt idx="753">
                  <c:v>121.74209999999975</c:v>
                </c:pt>
                <c:pt idx="754">
                  <c:v>121.74209999999975</c:v>
                </c:pt>
                <c:pt idx="755">
                  <c:v>121.74209999999975</c:v>
                </c:pt>
                <c:pt idx="756">
                  <c:v>121.74209999999975</c:v>
                </c:pt>
                <c:pt idx="757">
                  <c:v>121.74209999999975</c:v>
                </c:pt>
                <c:pt idx="758">
                  <c:v>121.74209999999975</c:v>
                </c:pt>
                <c:pt idx="759">
                  <c:v>121.74209999999975</c:v>
                </c:pt>
                <c:pt idx="760">
                  <c:v>121.74209999999975</c:v>
                </c:pt>
                <c:pt idx="761">
                  <c:v>121.74209999999975</c:v>
                </c:pt>
                <c:pt idx="762">
                  <c:v>121.74209999999975</c:v>
                </c:pt>
                <c:pt idx="763">
                  <c:v>121.74209999999975</c:v>
                </c:pt>
                <c:pt idx="764">
                  <c:v>121.74209999999975</c:v>
                </c:pt>
                <c:pt idx="765">
                  <c:v>121.74209999999975</c:v>
                </c:pt>
                <c:pt idx="766">
                  <c:v>121.74209999999975</c:v>
                </c:pt>
                <c:pt idx="767">
                  <c:v>121.74209999999975</c:v>
                </c:pt>
                <c:pt idx="768">
                  <c:v>121.74209999999975</c:v>
                </c:pt>
                <c:pt idx="769">
                  <c:v>121.74209999999975</c:v>
                </c:pt>
                <c:pt idx="770">
                  <c:v>121.74209999999975</c:v>
                </c:pt>
                <c:pt idx="771">
                  <c:v>121.74209999999975</c:v>
                </c:pt>
                <c:pt idx="772">
                  <c:v>121.74209999999975</c:v>
                </c:pt>
                <c:pt idx="773">
                  <c:v>121.74209999999975</c:v>
                </c:pt>
                <c:pt idx="774">
                  <c:v>121.74209999999975</c:v>
                </c:pt>
                <c:pt idx="775">
                  <c:v>121.74209999999975</c:v>
                </c:pt>
                <c:pt idx="776">
                  <c:v>121.74209999999975</c:v>
                </c:pt>
                <c:pt idx="777">
                  <c:v>121.74209999999975</c:v>
                </c:pt>
                <c:pt idx="778">
                  <c:v>121.74209999999975</c:v>
                </c:pt>
                <c:pt idx="779">
                  <c:v>121.74209999999975</c:v>
                </c:pt>
                <c:pt idx="780">
                  <c:v>121.74209999999975</c:v>
                </c:pt>
                <c:pt idx="781">
                  <c:v>121.74209999999975</c:v>
                </c:pt>
                <c:pt idx="782">
                  <c:v>121.74209999999975</c:v>
                </c:pt>
                <c:pt idx="783">
                  <c:v>121.74209999999975</c:v>
                </c:pt>
                <c:pt idx="784">
                  <c:v>121.74209999999975</c:v>
                </c:pt>
                <c:pt idx="785">
                  <c:v>121.74209999999975</c:v>
                </c:pt>
                <c:pt idx="786">
                  <c:v>121.74209999999975</c:v>
                </c:pt>
                <c:pt idx="787">
                  <c:v>121.74209999999975</c:v>
                </c:pt>
                <c:pt idx="788">
                  <c:v>121.74209999999975</c:v>
                </c:pt>
                <c:pt idx="789">
                  <c:v>121.74209999999975</c:v>
                </c:pt>
                <c:pt idx="790">
                  <c:v>121.74209999999975</c:v>
                </c:pt>
                <c:pt idx="791">
                  <c:v>121.74209999999975</c:v>
                </c:pt>
                <c:pt idx="792">
                  <c:v>121.74209999999975</c:v>
                </c:pt>
                <c:pt idx="793">
                  <c:v>121.74209999999975</c:v>
                </c:pt>
                <c:pt idx="794">
                  <c:v>121.74209999999975</c:v>
                </c:pt>
                <c:pt idx="795">
                  <c:v>121.74209999999975</c:v>
                </c:pt>
                <c:pt idx="796">
                  <c:v>121.74209999999975</c:v>
                </c:pt>
                <c:pt idx="797">
                  <c:v>121.74209999999975</c:v>
                </c:pt>
                <c:pt idx="798">
                  <c:v>121.74209999999975</c:v>
                </c:pt>
                <c:pt idx="799">
                  <c:v>121.74209999999975</c:v>
                </c:pt>
                <c:pt idx="800">
                  <c:v>121.74209999999975</c:v>
                </c:pt>
                <c:pt idx="801">
                  <c:v>121.74209999999975</c:v>
                </c:pt>
                <c:pt idx="802">
                  <c:v>121.74209999999975</c:v>
                </c:pt>
                <c:pt idx="803">
                  <c:v>121.74209999999975</c:v>
                </c:pt>
                <c:pt idx="804">
                  <c:v>121.74209999999975</c:v>
                </c:pt>
                <c:pt idx="805">
                  <c:v>121.74209999999975</c:v>
                </c:pt>
                <c:pt idx="806">
                  <c:v>121.74209999999975</c:v>
                </c:pt>
                <c:pt idx="807">
                  <c:v>121.74209999999975</c:v>
                </c:pt>
                <c:pt idx="808">
                  <c:v>121.74209999999975</c:v>
                </c:pt>
                <c:pt idx="809">
                  <c:v>121.74209999999975</c:v>
                </c:pt>
                <c:pt idx="810">
                  <c:v>121.74209999999975</c:v>
                </c:pt>
                <c:pt idx="811">
                  <c:v>121.74209999999975</c:v>
                </c:pt>
                <c:pt idx="812">
                  <c:v>121.74209999999975</c:v>
                </c:pt>
                <c:pt idx="813">
                  <c:v>121.74209999999975</c:v>
                </c:pt>
                <c:pt idx="814">
                  <c:v>121.74209999999975</c:v>
                </c:pt>
                <c:pt idx="815">
                  <c:v>121.74209999999975</c:v>
                </c:pt>
                <c:pt idx="816">
                  <c:v>121.74209999999975</c:v>
                </c:pt>
                <c:pt idx="817">
                  <c:v>121.74209999999975</c:v>
                </c:pt>
                <c:pt idx="818">
                  <c:v>121.74209999999975</c:v>
                </c:pt>
                <c:pt idx="819">
                  <c:v>121.74209999999975</c:v>
                </c:pt>
                <c:pt idx="820">
                  <c:v>121.74209999999975</c:v>
                </c:pt>
                <c:pt idx="821">
                  <c:v>121.74209999999975</c:v>
                </c:pt>
                <c:pt idx="822">
                  <c:v>121.74209999999975</c:v>
                </c:pt>
                <c:pt idx="823">
                  <c:v>121.74209999999975</c:v>
                </c:pt>
                <c:pt idx="824">
                  <c:v>121.74209999999975</c:v>
                </c:pt>
                <c:pt idx="825">
                  <c:v>121.74209999999975</c:v>
                </c:pt>
                <c:pt idx="826">
                  <c:v>121.74209999999975</c:v>
                </c:pt>
                <c:pt idx="827">
                  <c:v>121.74209999999975</c:v>
                </c:pt>
                <c:pt idx="828">
                  <c:v>121.74209999999975</c:v>
                </c:pt>
                <c:pt idx="829">
                  <c:v>121.74209999999975</c:v>
                </c:pt>
                <c:pt idx="830">
                  <c:v>121.74209999999975</c:v>
                </c:pt>
                <c:pt idx="831">
                  <c:v>121.74209999999975</c:v>
                </c:pt>
                <c:pt idx="832">
                  <c:v>121.74209999999975</c:v>
                </c:pt>
                <c:pt idx="833">
                  <c:v>121.74209999999975</c:v>
                </c:pt>
                <c:pt idx="834">
                  <c:v>121.74209999999975</c:v>
                </c:pt>
                <c:pt idx="835">
                  <c:v>121.74209999999975</c:v>
                </c:pt>
                <c:pt idx="836">
                  <c:v>121.74209999999975</c:v>
                </c:pt>
                <c:pt idx="837">
                  <c:v>121.74209999999975</c:v>
                </c:pt>
                <c:pt idx="838">
                  <c:v>121.74209999999975</c:v>
                </c:pt>
                <c:pt idx="839">
                  <c:v>121.74209999999975</c:v>
                </c:pt>
                <c:pt idx="840">
                  <c:v>121.74209999999975</c:v>
                </c:pt>
                <c:pt idx="841">
                  <c:v>121.74209999999975</c:v>
                </c:pt>
                <c:pt idx="842">
                  <c:v>121.74209999999975</c:v>
                </c:pt>
                <c:pt idx="843">
                  <c:v>121.74209999999975</c:v>
                </c:pt>
                <c:pt idx="844">
                  <c:v>121.74209999999975</c:v>
                </c:pt>
                <c:pt idx="845">
                  <c:v>121.74209999999975</c:v>
                </c:pt>
                <c:pt idx="846">
                  <c:v>121.74209999999975</c:v>
                </c:pt>
                <c:pt idx="847">
                  <c:v>121.74209999999975</c:v>
                </c:pt>
                <c:pt idx="848">
                  <c:v>121.74209999999975</c:v>
                </c:pt>
                <c:pt idx="849">
                  <c:v>121.74209999999975</c:v>
                </c:pt>
                <c:pt idx="850">
                  <c:v>121.74209999999975</c:v>
                </c:pt>
                <c:pt idx="851">
                  <c:v>121.74209999999975</c:v>
                </c:pt>
                <c:pt idx="852">
                  <c:v>121.74209999999975</c:v>
                </c:pt>
                <c:pt idx="853">
                  <c:v>121.74209999999975</c:v>
                </c:pt>
                <c:pt idx="854">
                  <c:v>121.74209999999975</c:v>
                </c:pt>
                <c:pt idx="855">
                  <c:v>121.74209999999975</c:v>
                </c:pt>
                <c:pt idx="856">
                  <c:v>121.74209999999975</c:v>
                </c:pt>
                <c:pt idx="857">
                  <c:v>121.74209999999975</c:v>
                </c:pt>
                <c:pt idx="858">
                  <c:v>121.74209999999975</c:v>
                </c:pt>
                <c:pt idx="859">
                  <c:v>121.74209999999975</c:v>
                </c:pt>
                <c:pt idx="860">
                  <c:v>121.74209999999975</c:v>
                </c:pt>
                <c:pt idx="861">
                  <c:v>121.74209999999975</c:v>
                </c:pt>
                <c:pt idx="862">
                  <c:v>121.74209999999975</c:v>
                </c:pt>
                <c:pt idx="863">
                  <c:v>121.74209999999975</c:v>
                </c:pt>
                <c:pt idx="864">
                  <c:v>121.74209999999975</c:v>
                </c:pt>
                <c:pt idx="865">
                  <c:v>121.74209999999975</c:v>
                </c:pt>
                <c:pt idx="866">
                  <c:v>121.74209999999975</c:v>
                </c:pt>
                <c:pt idx="867">
                  <c:v>121.74209999999975</c:v>
                </c:pt>
                <c:pt idx="868">
                  <c:v>121.74209999999975</c:v>
                </c:pt>
                <c:pt idx="869">
                  <c:v>121.74209999999975</c:v>
                </c:pt>
                <c:pt idx="870">
                  <c:v>121.74209999999975</c:v>
                </c:pt>
                <c:pt idx="871">
                  <c:v>121.74209999999975</c:v>
                </c:pt>
                <c:pt idx="872">
                  <c:v>121.74209999999975</c:v>
                </c:pt>
                <c:pt idx="873">
                  <c:v>121.74209999999975</c:v>
                </c:pt>
                <c:pt idx="874">
                  <c:v>121.74209999999975</c:v>
                </c:pt>
                <c:pt idx="875">
                  <c:v>121.74209999999975</c:v>
                </c:pt>
                <c:pt idx="876">
                  <c:v>121.74209999999975</c:v>
                </c:pt>
                <c:pt idx="877">
                  <c:v>121.74209999999975</c:v>
                </c:pt>
                <c:pt idx="878">
                  <c:v>121.74209999999975</c:v>
                </c:pt>
                <c:pt idx="879">
                  <c:v>121.74209999999975</c:v>
                </c:pt>
                <c:pt idx="880">
                  <c:v>121.74209999999975</c:v>
                </c:pt>
                <c:pt idx="881">
                  <c:v>121.74209999999975</c:v>
                </c:pt>
                <c:pt idx="882">
                  <c:v>121.74209999999975</c:v>
                </c:pt>
                <c:pt idx="883">
                  <c:v>121.74209999999975</c:v>
                </c:pt>
                <c:pt idx="884">
                  <c:v>121.74209999999975</c:v>
                </c:pt>
                <c:pt idx="885">
                  <c:v>121.74209999999975</c:v>
                </c:pt>
                <c:pt idx="886">
                  <c:v>121.74209999999975</c:v>
                </c:pt>
                <c:pt idx="887">
                  <c:v>121.74209999999975</c:v>
                </c:pt>
                <c:pt idx="888">
                  <c:v>121.74209999999975</c:v>
                </c:pt>
                <c:pt idx="889">
                  <c:v>121.74209999999975</c:v>
                </c:pt>
                <c:pt idx="890">
                  <c:v>121.74209999999975</c:v>
                </c:pt>
                <c:pt idx="891">
                  <c:v>121.74209999999975</c:v>
                </c:pt>
                <c:pt idx="892">
                  <c:v>121.74209999999975</c:v>
                </c:pt>
                <c:pt idx="893">
                  <c:v>121.74209999999975</c:v>
                </c:pt>
                <c:pt idx="894">
                  <c:v>121.74209999999975</c:v>
                </c:pt>
                <c:pt idx="895">
                  <c:v>121.74209999999975</c:v>
                </c:pt>
                <c:pt idx="896">
                  <c:v>121.74209999999975</c:v>
                </c:pt>
                <c:pt idx="897">
                  <c:v>121.74209999999975</c:v>
                </c:pt>
                <c:pt idx="898">
                  <c:v>121.74209999999975</c:v>
                </c:pt>
                <c:pt idx="899">
                  <c:v>121.74209999999975</c:v>
                </c:pt>
                <c:pt idx="900">
                  <c:v>121.74209999999975</c:v>
                </c:pt>
                <c:pt idx="901">
                  <c:v>121.74209999999975</c:v>
                </c:pt>
                <c:pt idx="902">
                  <c:v>121.74209999999975</c:v>
                </c:pt>
                <c:pt idx="903">
                  <c:v>121.74209999999975</c:v>
                </c:pt>
                <c:pt idx="904">
                  <c:v>121.74209999999975</c:v>
                </c:pt>
                <c:pt idx="905">
                  <c:v>121.74209999999975</c:v>
                </c:pt>
                <c:pt idx="906">
                  <c:v>121.74209999999975</c:v>
                </c:pt>
                <c:pt idx="907">
                  <c:v>121.74209999999975</c:v>
                </c:pt>
                <c:pt idx="908">
                  <c:v>121.74209999999975</c:v>
                </c:pt>
                <c:pt idx="909">
                  <c:v>121.74209999999975</c:v>
                </c:pt>
                <c:pt idx="910">
                  <c:v>121.74209999999975</c:v>
                </c:pt>
                <c:pt idx="911">
                  <c:v>121.74209999999975</c:v>
                </c:pt>
                <c:pt idx="912">
                  <c:v>121.74209999999975</c:v>
                </c:pt>
                <c:pt idx="913">
                  <c:v>121.74209999999975</c:v>
                </c:pt>
                <c:pt idx="914">
                  <c:v>121.74209999999975</c:v>
                </c:pt>
                <c:pt idx="915">
                  <c:v>121.74209999999975</c:v>
                </c:pt>
                <c:pt idx="916">
                  <c:v>121.74209999999975</c:v>
                </c:pt>
                <c:pt idx="917">
                  <c:v>121.74209999999975</c:v>
                </c:pt>
                <c:pt idx="918">
                  <c:v>121.74209999999975</c:v>
                </c:pt>
                <c:pt idx="919">
                  <c:v>121.74209999999975</c:v>
                </c:pt>
                <c:pt idx="920">
                  <c:v>121.74209999999975</c:v>
                </c:pt>
                <c:pt idx="921">
                  <c:v>121.74209999999975</c:v>
                </c:pt>
                <c:pt idx="922">
                  <c:v>121.74209999999975</c:v>
                </c:pt>
                <c:pt idx="923">
                  <c:v>121.74209999999975</c:v>
                </c:pt>
                <c:pt idx="924">
                  <c:v>121.74209999999975</c:v>
                </c:pt>
                <c:pt idx="925">
                  <c:v>121.74209999999975</c:v>
                </c:pt>
                <c:pt idx="926">
                  <c:v>121.74209999999975</c:v>
                </c:pt>
                <c:pt idx="927">
                  <c:v>121.74209999999975</c:v>
                </c:pt>
                <c:pt idx="928">
                  <c:v>121.74209999999975</c:v>
                </c:pt>
                <c:pt idx="929">
                  <c:v>121.74209999999975</c:v>
                </c:pt>
                <c:pt idx="930">
                  <c:v>121.74209999999975</c:v>
                </c:pt>
                <c:pt idx="931">
                  <c:v>121.74209999999975</c:v>
                </c:pt>
                <c:pt idx="932">
                  <c:v>121.74209999999975</c:v>
                </c:pt>
                <c:pt idx="933">
                  <c:v>121.74209999999975</c:v>
                </c:pt>
                <c:pt idx="934">
                  <c:v>121.74209999999975</c:v>
                </c:pt>
                <c:pt idx="935">
                  <c:v>121.74209999999975</c:v>
                </c:pt>
                <c:pt idx="936">
                  <c:v>121.74209999999975</c:v>
                </c:pt>
                <c:pt idx="937">
                  <c:v>121.74209999999975</c:v>
                </c:pt>
                <c:pt idx="938">
                  <c:v>121.74209999999975</c:v>
                </c:pt>
                <c:pt idx="939">
                  <c:v>121.74209999999975</c:v>
                </c:pt>
                <c:pt idx="940">
                  <c:v>121.74209999999975</c:v>
                </c:pt>
                <c:pt idx="941">
                  <c:v>121.74209999999975</c:v>
                </c:pt>
                <c:pt idx="942">
                  <c:v>121.74209999999975</c:v>
                </c:pt>
                <c:pt idx="943">
                  <c:v>121.74209999999975</c:v>
                </c:pt>
                <c:pt idx="944">
                  <c:v>121.74209999999975</c:v>
                </c:pt>
                <c:pt idx="945">
                  <c:v>121.74209999999975</c:v>
                </c:pt>
                <c:pt idx="946">
                  <c:v>121.74209999999975</c:v>
                </c:pt>
                <c:pt idx="947">
                  <c:v>121.74209999999975</c:v>
                </c:pt>
                <c:pt idx="948">
                  <c:v>121.74209999999975</c:v>
                </c:pt>
                <c:pt idx="949">
                  <c:v>121.74209999999975</c:v>
                </c:pt>
                <c:pt idx="950">
                  <c:v>121.74209999999975</c:v>
                </c:pt>
                <c:pt idx="951">
                  <c:v>121.74209999999975</c:v>
                </c:pt>
                <c:pt idx="952">
                  <c:v>121.74209999999975</c:v>
                </c:pt>
                <c:pt idx="953">
                  <c:v>121.74209999999975</c:v>
                </c:pt>
                <c:pt idx="954">
                  <c:v>121.74209999999975</c:v>
                </c:pt>
                <c:pt idx="955">
                  <c:v>121.74209999999975</c:v>
                </c:pt>
                <c:pt idx="956">
                  <c:v>121.74209999999975</c:v>
                </c:pt>
                <c:pt idx="957">
                  <c:v>121.74209999999975</c:v>
                </c:pt>
                <c:pt idx="958">
                  <c:v>121.74209999999975</c:v>
                </c:pt>
                <c:pt idx="959">
                  <c:v>121.74209999999975</c:v>
                </c:pt>
                <c:pt idx="960">
                  <c:v>121.74209999999975</c:v>
                </c:pt>
                <c:pt idx="961">
                  <c:v>121.74209999999975</c:v>
                </c:pt>
                <c:pt idx="962">
                  <c:v>121.74209999999975</c:v>
                </c:pt>
                <c:pt idx="963">
                  <c:v>121.74209999999975</c:v>
                </c:pt>
                <c:pt idx="964">
                  <c:v>121.74209999999975</c:v>
                </c:pt>
                <c:pt idx="965">
                  <c:v>121.74209999999975</c:v>
                </c:pt>
                <c:pt idx="966">
                  <c:v>121.74209999999975</c:v>
                </c:pt>
                <c:pt idx="967">
                  <c:v>121.74209999999975</c:v>
                </c:pt>
                <c:pt idx="968">
                  <c:v>121.74209999999975</c:v>
                </c:pt>
                <c:pt idx="969">
                  <c:v>121.74209999999975</c:v>
                </c:pt>
                <c:pt idx="970">
                  <c:v>121.74209999999975</c:v>
                </c:pt>
                <c:pt idx="971">
                  <c:v>121.74209999999975</c:v>
                </c:pt>
                <c:pt idx="972">
                  <c:v>121.74209999999975</c:v>
                </c:pt>
                <c:pt idx="973">
                  <c:v>121.74209999999975</c:v>
                </c:pt>
                <c:pt idx="974">
                  <c:v>121.74209999999975</c:v>
                </c:pt>
                <c:pt idx="975">
                  <c:v>121.74209999999975</c:v>
                </c:pt>
                <c:pt idx="976">
                  <c:v>121.74209999999975</c:v>
                </c:pt>
                <c:pt idx="977">
                  <c:v>121.74209999999975</c:v>
                </c:pt>
                <c:pt idx="978">
                  <c:v>121.74209999999975</c:v>
                </c:pt>
                <c:pt idx="979">
                  <c:v>121.74209999999975</c:v>
                </c:pt>
                <c:pt idx="980">
                  <c:v>121.74209999999975</c:v>
                </c:pt>
                <c:pt idx="981">
                  <c:v>121.74209999999975</c:v>
                </c:pt>
                <c:pt idx="982">
                  <c:v>121.74209999999975</c:v>
                </c:pt>
                <c:pt idx="983">
                  <c:v>121.74209999999975</c:v>
                </c:pt>
                <c:pt idx="984">
                  <c:v>121.74209999999975</c:v>
                </c:pt>
                <c:pt idx="985">
                  <c:v>121.74209999999975</c:v>
                </c:pt>
                <c:pt idx="986">
                  <c:v>121.74209999999975</c:v>
                </c:pt>
                <c:pt idx="987">
                  <c:v>121.74209999999975</c:v>
                </c:pt>
                <c:pt idx="988">
                  <c:v>121.74209999999975</c:v>
                </c:pt>
                <c:pt idx="989">
                  <c:v>121.74209999999975</c:v>
                </c:pt>
                <c:pt idx="990">
                  <c:v>121.74209999999975</c:v>
                </c:pt>
                <c:pt idx="991">
                  <c:v>121.74209999999975</c:v>
                </c:pt>
                <c:pt idx="992">
                  <c:v>121.74209999999975</c:v>
                </c:pt>
                <c:pt idx="993">
                  <c:v>121.74209999999975</c:v>
                </c:pt>
                <c:pt idx="994">
                  <c:v>121.74209999999975</c:v>
                </c:pt>
                <c:pt idx="995">
                  <c:v>121.74209999999975</c:v>
                </c:pt>
                <c:pt idx="996">
                  <c:v>121.74209999999975</c:v>
                </c:pt>
                <c:pt idx="997">
                  <c:v>121.74209999999975</c:v>
                </c:pt>
                <c:pt idx="998">
                  <c:v>121.74209999999975</c:v>
                </c:pt>
                <c:pt idx="999">
                  <c:v>121.74209999999975</c:v>
                </c:pt>
                <c:pt idx="1000">
                  <c:v>121.74209999999975</c:v>
                </c:pt>
              </c:numCache>
            </c:numRef>
          </c:yVal>
          <c:smooth val="0"/>
          <c:extLst>
            <c:ext xmlns:c16="http://schemas.microsoft.com/office/drawing/2014/chart" uri="{C3380CC4-5D6E-409C-BE32-E72D297353CC}">
              <c16:uniqueId val="{00000001-5334-48F2-9051-C40E5F5CB63F}"/>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43.900100000000293</c:v>
                </c:pt>
                <c:pt idx="891">
                  <c:v>43.900200000000297</c:v>
                </c:pt>
                <c:pt idx="892">
                  <c:v>43.9003000000003</c:v>
                </c:pt>
                <c:pt idx="893">
                  <c:v>43.900400000000303</c:v>
                </c:pt>
                <c:pt idx="894">
                  <c:v>43.900500000000306</c:v>
                </c:pt>
                <c:pt idx="895">
                  <c:v>43.90060000000031</c:v>
                </c:pt>
                <c:pt idx="896">
                  <c:v>43.900700000000313</c:v>
                </c:pt>
                <c:pt idx="897">
                  <c:v>43.900800000000316</c:v>
                </c:pt>
                <c:pt idx="898">
                  <c:v>43.90090000000032</c:v>
                </c:pt>
                <c:pt idx="899">
                  <c:v>43.901000000000323</c:v>
                </c:pt>
                <c:pt idx="900">
                  <c:v>43.901100000000326</c:v>
                </c:pt>
                <c:pt idx="901">
                  <c:v>43.90120000000033</c:v>
                </c:pt>
                <c:pt idx="902">
                  <c:v>43.901300000000333</c:v>
                </c:pt>
                <c:pt idx="903">
                  <c:v>43.901400000000336</c:v>
                </c:pt>
                <c:pt idx="904">
                  <c:v>43.90150000000034</c:v>
                </c:pt>
                <c:pt idx="905">
                  <c:v>43.901600000000343</c:v>
                </c:pt>
                <c:pt idx="906">
                  <c:v>43.901700000000346</c:v>
                </c:pt>
                <c:pt idx="907">
                  <c:v>43.90180000000035</c:v>
                </c:pt>
                <c:pt idx="908">
                  <c:v>43.901900000000353</c:v>
                </c:pt>
                <c:pt idx="909">
                  <c:v>43.902000000000356</c:v>
                </c:pt>
                <c:pt idx="910">
                  <c:v>43.90210000000036</c:v>
                </c:pt>
                <c:pt idx="911">
                  <c:v>43.902200000000363</c:v>
                </c:pt>
                <c:pt idx="912">
                  <c:v>43.902300000000366</c:v>
                </c:pt>
                <c:pt idx="913">
                  <c:v>43.90240000000037</c:v>
                </c:pt>
                <c:pt idx="914">
                  <c:v>43.902500000000373</c:v>
                </c:pt>
                <c:pt idx="915">
                  <c:v>43.902600000000376</c:v>
                </c:pt>
                <c:pt idx="916">
                  <c:v>43.90270000000038</c:v>
                </c:pt>
                <c:pt idx="917">
                  <c:v>43.902800000000383</c:v>
                </c:pt>
                <c:pt idx="918">
                  <c:v>43.902900000000386</c:v>
                </c:pt>
                <c:pt idx="919">
                  <c:v>43.903000000000389</c:v>
                </c:pt>
                <c:pt idx="920">
                  <c:v>43.903100000000393</c:v>
                </c:pt>
                <c:pt idx="921">
                  <c:v>43.903200000000396</c:v>
                </c:pt>
                <c:pt idx="922">
                  <c:v>43.903300000000399</c:v>
                </c:pt>
                <c:pt idx="923">
                  <c:v>43.903400000000403</c:v>
                </c:pt>
                <c:pt idx="924">
                  <c:v>43.903500000000406</c:v>
                </c:pt>
                <c:pt idx="925">
                  <c:v>43.903600000000409</c:v>
                </c:pt>
                <c:pt idx="926">
                  <c:v>43.903700000000413</c:v>
                </c:pt>
                <c:pt idx="927">
                  <c:v>43.903800000000416</c:v>
                </c:pt>
                <c:pt idx="928">
                  <c:v>43.903900000000419</c:v>
                </c:pt>
                <c:pt idx="929">
                  <c:v>43.904000000000423</c:v>
                </c:pt>
                <c:pt idx="930">
                  <c:v>43.904100000000426</c:v>
                </c:pt>
                <c:pt idx="931">
                  <c:v>43.904200000000429</c:v>
                </c:pt>
                <c:pt idx="932">
                  <c:v>43.904300000000433</c:v>
                </c:pt>
                <c:pt idx="933">
                  <c:v>43.904400000000436</c:v>
                </c:pt>
                <c:pt idx="934">
                  <c:v>43.904500000000439</c:v>
                </c:pt>
                <c:pt idx="935">
                  <c:v>43.904600000000443</c:v>
                </c:pt>
                <c:pt idx="936">
                  <c:v>43.904700000000446</c:v>
                </c:pt>
                <c:pt idx="937">
                  <c:v>43.904800000000449</c:v>
                </c:pt>
                <c:pt idx="938">
                  <c:v>43.904900000000453</c:v>
                </c:pt>
                <c:pt idx="939">
                  <c:v>43.905000000000456</c:v>
                </c:pt>
                <c:pt idx="940">
                  <c:v>43.905100000000459</c:v>
                </c:pt>
                <c:pt idx="941">
                  <c:v>43.905200000000463</c:v>
                </c:pt>
                <c:pt idx="942">
                  <c:v>43.905300000000466</c:v>
                </c:pt>
                <c:pt idx="943">
                  <c:v>43.905400000000469</c:v>
                </c:pt>
                <c:pt idx="944">
                  <c:v>43.905500000000472</c:v>
                </c:pt>
                <c:pt idx="945">
                  <c:v>43.905600000000476</c:v>
                </c:pt>
                <c:pt idx="946">
                  <c:v>43.905700000000479</c:v>
                </c:pt>
                <c:pt idx="947">
                  <c:v>43.905800000000482</c:v>
                </c:pt>
                <c:pt idx="948">
                  <c:v>43.905900000000486</c:v>
                </c:pt>
                <c:pt idx="949">
                  <c:v>43.906000000000489</c:v>
                </c:pt>
                <c:pt idx="950">
                  <c:v>43.906100000000492</c:v>
                </c:pt>
                <c:pt idx="951">
                  <c:v>43.906200000000496</c:v>
                </c:pt>
                <c:pt idx="952">
                  <c:v>43.906300000000499</c:v>
                </c:pt>
                <c:pt idx="953">
                  <c:v>43.906400000000502</c:v>
                </c:pt>
                <c:pt idx="954">
                  <c:v>43.906500000000506</c:v>
                </c:pt>
                <c:pt idx="955">
                  <c:v>43.906600000000509</c:v>
                </c:pt>
                <c:pt idx="956">
                  <c:v>43.906700000000512</c:v>
                </c:pt>
                <c:pt idx="957">
                  <c:v>43.906800000000516</c:v>
                </c:pt>
                <c:pt idx="958">
                  <c:v>43.906900000000519</c:v>
                </c:pt>
                <c:pt idx="959">
                  <c:v>43.907000000000522</c:v>
                </c:pt>
                <c:pt idx="960">
                  <c:v>43.907100000000526</c:v>
                </c:pt>
                <c:pt idx="961">
                  <c:v>43.907200000000529</c:v>
                </c:pt>
                <c:pt idx="962">
                  <c:v>43.907300000000532</c:v>
                </c:pt>
                <c:pt idx="963">
                  <c:v>43.907400000000536</c:v>
                </c:pt>
                <c:pt idx="964">
                  <c:v>43.907500000000539</c:v>
                </c:pt>
                <c:pt idx="965">
                  <c:v>43.907600000000542</c:v>
                </c:pt>
                <c:pt idx="966">
                  <c:v>43.907700000000546</c:v>
                </c:pt>
                <c:pt idx="967">
                  <c:v>43.907800000000549</c:v>
                </c:pt>
                <c:pt idx="968">
                  <c:v>43.907900000000552</c:v>
                </c:pt>
                <c:pt idx="969">
                  <c:v>43.908000000000555</c:v>
                </c:pt>
                <c:pt idx="970">
                  <c:v>43.908100000000559</c:v>
                </c:pt>
                <c:pt idx="971">
                  <c:v>43.908200000000562</c:v>
                </c:pt>
                <c:pt idx="972">
                  <c:v>43.908300000000565</c:v>
                </c:pt>
                <c:pt idx="973">
                  <c:v>43.908400000000569</c:v>
                </c:pt>
                <c:pt idx="974">
                  <c:v>43.908500000000572</c:v>
                </c:pt>
                <c:pt idx="975">
                  <c:v>43.908600000000575</c:v>
                </c:pt>
                <c:pt idx="976">
                  <c:v>43.908700000000579</c:v>
                </c:pt>
                <c:pt idx="977">
                  <c:v>43.908800000000582</c:v>
                </c:pt>
                <c:pt idx="978">
                  <c:v>43.908900000000585</c:v>
                </c:pt>
                <c:pt idx="979">
                  <c:v>43.909000000000589</c:v>
                </c:pt>
                <c:pt idx="980">
                  <c:v>43.909100000000592</c:v>
                </c:pt>
                <c:pt idx="981">
                  <c:v>43.909200000000595</c:v>
                </c:pt>
                <c:pt idx="982">
                  <c:v>43.909300000000599</c:v>
                </c:pt>
                <c:pt idx="983">
                  <c:v>43.909400000000602</c:v>
                </c:pt>
                <c:pt idx="984">
                  <c:v>43.909500000000605</c:v>
                </c:pt>
                <c:pt idx="985">
                  <c:v>43.909600000000609</c:v>
                </c:pt>
                <c:pt idx="986">
                  <c:v>43.909700000000612</c:v>
                </c:pt>
                <c:pt idx="987">
                  <c:v>43.909800000000615</c:v>
                </c:pt>
                <c:pt idx="988">
                  <c:v>43.909900000000619</c:v>
                </c:pt>
                <c:pt idx="989">
                  <c:v>43.910000000000622</c:v>
                </c:pt>
                <c:pt idx="990">
                  <c:v>43.910100000000625</c:v>
                </c:pt>
                <c:pt idx="991">
                  <c:v>43.910200000000629</c:v>
                </c:pt>
                <c:pt idx="992">
                  <c:v>43.910300000000632</c:v>
                </c:pt>
                <c:pt idx="993">
                  <c:v>43.910400000000635</c:v>
                </c:pt>
                <c:pt idx="994">
                  <c:v>43.910500000000638</c:v>
                </c:pt>
                <c:pt idx="995">
                  <c:v>43.910600000000642</c:v>
                </c:pt>
                <c:pt idx="996">
                  <c:v>43.910700000000645</c:v>
                </c:pt>
                <c:pt idx="997">
                  <c:v>43.910800000000648</c:v>
                </c:pt>
                <c:pt idx="998">
                  <c:v>43.910900000000652</c:v>
                </c:pt>
                <c:pt idx="999">
                  <c:v>43.911000000000655</c:v>
                </c:pt>
                <c:pt idx="1000">
                  <c:v>43.911100000000658</c:v>
                </c:pt>
              </c:numCache>
            </c:numRef>
          </c:xVal>
          <c:yVal>
            <c:numRef>
              <c:f>Calculs!$W$4:$W$1004</c:f>
              <c:numCache>
                <c:formatCode>0.00</c:formatCode>
                <c:ptCount val="1001"/>
                <c:pt idx="0">
                  <c:v>0</c:v>
                </c:pt>
                <c:pt idx="1">
                  <c:v>8.0725752848031424E-6</c:v>
                </c:pt>
                <c:pt idx="2">
                  <c:v>2.0891676685574117E-4</c:v>
                </c:pt>
                <c:pt idx="3">
                  <c:v>8.8250122717772547E-4</c:v>
                </c:pt>
                <c:pt idx="4">
                  <c:v>2.3621873323473709E-3</c:v>
                </c:pt>
                <c:pt idx="5">
                  <c:v>5.0612933340370798E-3</c:v>
                </c:pt>
                <c:pt idx="6">
                  <c:v>9.473348612811721E-3</c:v>
                </c:pt>
                <c:pt idx="7">
                  <c:v>1.6172386286539567E-2</c:v>
                </c:pt>
                <c:pt idx="8">
                  <c:v>2.5813273788452148E-2</c:v>
                </c:pt>
                <c:pt idx="9">
                  <c:v>3.913208105753857E-2</c:v>
                </c:pt>
                <c:pt idx="10">
                  <c:v>5.6946486011172762E-2</c:v>
                </c:pt>
                <c:pt idx="11">
                  <c:v>7.8974992591196197E-2</c:v>
                </c:pt>
                <c:pt idx="12">
                  <c:v>0.10426200354151066</c:v>
                </c:pt>
                <c:pt idx="13">
                  <c:v>0.13266491686752332</c:v>
                </c:pt>
                <c:pt idx="14">
                  <c:v>0.16403724937371536</c:v>
                </c:pt>
                <c:pt idx="15">
                  <c:v>0.1982430226526804</c:v>
                </c:pt>
                <c:pt idx="16">
                  <c:v>0.2351478268948719</c:v>
                </c:pt>
                <c:pt idx="17">
                  <c:v>0.27461883643680357</c:v>
                </c:pt>
                <c:pt idx="18">
                  <c:v>0.31652482505589463</c:v>
                </c:pt>
                <c:pt idx="19">
                  <c:v>0.36073618101104032</c:v>
                </c:pt>
                <c:pt idx="20">
                  <c:v>0.40712492182806331</c:v>
                </c:pt>
                <c:pt idx="21">
                  <c:v>0.45556470882927502</c:v>
                </c:pt>
                <c:pt idx="22">
                  <c:v>0.50593086140645027</c:v>
                </c:pt>
                <c:pt idx="23">
                  <c:v>0.55810037103659282</c:v>
                </c:pt>
                <c:pt idx="24">
                  <c:v>0.61195191503994006</c:v>
                </c:pt>
                <c:pt idx="25">
                  <c:v>0.6673658700797348</c:v>
                </c:pt>
                <c:pt idx="26">
                  <c:v>0.72422432540335391</c:v>
                </c:pt>
                <c:pt idx="27">
                  <c:v>0.78290818790354244</c:v>
                </c:pt>
                <c:pt idx="28">
                  <c:v>0.84387582899972824</c:v>
                </c:pt>
                <c:pt idx="29">
                  <c:v>0.90712678557887672</c:v>
                </c:pt>
                <c:pt idx="30">
                  <c:v>0.97266056134564582</c:v>
                </c:pt>
                <c:pt idx="31">
                  <c:v>1.0404766268033085</c:v>
                </c:pt>
                <c:pt idx="32">
                  <c:v>1.1105744192356626</c:v>
                </c:pt>
                <c:pt idx="33">
                  <c:v>1.1829533426899215</c:v>
                </c:pt>
                <c:pt idx="34">
                  <c:v>1.2576127679605984</c:v>
                </c:pt>
                <c:pt idx="35">
                  <c:v>1.3345520325743829</c:v>
                </c:pt>
                <c:pt idx="36">
                  <c:v>1.4137704407760048</c:v>
                </c:pt>
                <c:pt idx="37">
                  <c:v>1.4952672635150976</c:v>
                </c:pt>
                <c:pt idx="38">
                  <c:v>1.5790425304454332</c:v>
                </c:pt>
                <c:pt idx="39">
                  <c:v>1.6650963559079157</c:v>
                </c:pt>
                <c:pt idx="40">
                  <c:v>1.7534280108547369</c:v>
                </c:pt>
                <c:pt idx="41">
                  <c:v>1.8440367311391441</c:v>
                </c:pt>
                <c:pt idx="42">
                  <c:v>1.9369217175770126</c:v>
                </c:pt>
                <c:pt idx="43">
                  <c:v>2.0320821360098087</c:v>
                </c:pt>
                <c:pt idx="44">
                  <c:v>2.1295171173640082</c:v>
                </c:pt>
                <c:pt idx="45">
                  <c:v>2.2292257577073498</c:v>
                </c:pt>
                <c:pt idx="46">
                  <c:v>2.3312071183022911</c:v>
                </c:pt>
                <c:pt idx="47">
                  <c:v>2.4354602256569651</c:v>
                </c:pt>
                <c:pt idx="48">
                  <c:v>2.5419840715739439</c:v>
                </c:pt>
                <c:pt idx="49">
                  <c:v>2.6507776131970386</c:v>
                </c:pt>
                <c:pt idx="50">
                  <c:v>2.7618397730563893</c:v>
                </c:pt>
                <c:pt idx="51">
                  <c:v>2.8751694391120437</c:v>
                </c:pt>
                <c:pt idx="52">
                  <c:v>2.990765464796187</c:v>
                </c:pt>
                <c:pt idx="53">
                  <c:v>3.108626669054265</c:v>
                </c:pt>
                <c:pt idx="54">
                  <c:v>3.22875183638507</c:v>
                </c:pt>
                <c:pt idx="55">
                  <c:v>3.3511397168799881</c:v>
                </c:pt>
                <c:pt idx="56">
                  <c:v>3.4757890262615145</c:v>
                </c:pt>
                <c:pt idx="57">
                  <c:v>3.6026984459211757</c:v>
                </c:pt>
                <c:pt idx="58">
                  <c:v>3.7318666229569444</c:v>
                </c:pt>
                <c:pt idx="59">
                  <c:v>3.8632921702102374</c:v>
                </c:pt>
                <c:pt idx="60">
                  <c:v>3.9969736663026452</c:v>
                </c:pt>
                <c:pt idx="61">
                  <c:v>4.1329096556724041</c:v>
                </c:pt>
                <c:pt idx="62">
                  <c:v>4.2710986486107343</c:v>
                </c:pt>
                <c:pt idx="63">
                  <c:v>4.4115391212981079</c:v>
                </c:pt>
                <c:pt idx="64">
                  <c:v>4.5542295158405004</c:v>
                </c:pt>
                <c:pt idx="65">
                  <c:v>4.6991682403057027</c:v>
                </c:pt>
                <c:pt idx="66">
                  <c:v>4.8463536687597397</c:v>
                </c:pt>
                <c:pt idx="67">
                  <c:v>4.9957841413034387</c:v>
                </c:pt>
                <c:pt idx="68">
                  <c:v>5.1474579641092424</c:v>
                </c:pt>
                <c:pt idx="69">
                  <c:v>5.301373409458229</c:v>
                </c:pt>
                <c:pt idx="70">
                  <c:v>5.4575287157774737</c:v>
                </c:pt>
                <c:pt idx="71">
                  <c:v>5.6159220876777241</c:v>
                </c:pt>
                <c:pt idx="72">
                  <c:v>5.7765363138601904</c:v>
                </c:pt>
                <c:pt idx="73">
                  <c:v>5.9393532696589588</c:v>
                </c:pt>
                <c:pt idx="74">
                  <c:v>6.1043697403050787</c:v>
                </c:pt>
                <c:pt idx="75">
                  <c:v>6.2715824770449515</c:v>
                </c:pt>
                <c:pt idx="76">
                  <c:v>6.4409881972215972</c:v>
                </c:pt>
                <c:pt idx="77">
                  <c:v>6.6125835843564618</c:v>
                </c:pt>
                <c:pt idx="78">
                  <c:v>6.7863652882317895</c:v>
                </c:pt>
                <c:pt idx="79">
                  <c:v>6.9623299249735791</c:v>
                </c:pt>
                <c:pt idx="80">
                  <c:v>7.1404740771351634</c:v>
                </c:pt>
                <c:pt idx="81">
                  <c:v>7.320794293781403</c:v>
                </c:pt>
                <c:pt idx="82">
                  <c:v>7.5032870905735196</c:v>
                </c:pt>
                <c:pt idx="83">
                  <c:v>7.6879489498545954</c:v>
                </c:pt>
                <c:pt idx="84">
                  <c:v>7.8747763207357693</c:v>
                </c:pt>
                <c:pt idx="85">
                  <c:v>8.063765619183064</c:v>
                </c:pt>
                <c:pt idx="86">
                  <c:v>8.2549132281049697</c:v>
                </c:pt>
                <c:pt idx="87">
                  <c:v>8.4482154974407191</c:v>
                </c:pt>
                <c:pt idx="88">
                  <c:v>8.6436687442492897</c:v>
                </c:pt>
                <c:pt idx="89">
                  <c:v>8.8412692527991261</c:v>
                </c:pt>
                <c:pt idx="90">
                  <c:v>9.0410132746586296</c:v>
                </c:pt>
                <c:pt idx="91">
                  <c:v>9.2428970287873682</c:v>
                </c:pt>
                <c:pt idx="92">
                  <c:v>9.4469167016281013</c:v>
                </c:pt>
                <c:pt idx="93">
                  <c:v>9.6530684471994874</c:v>
                </c:pt>
                <c:pt idx="94">
                  <c:v>9.8613483871896594</c:v>
                </c:pt>
                <c:pt idx="95">
                  <c:v>10.07175261105051</c:v>
                </c:pt>
                <c:pt idx="96">
                  <c:v>10.284277176092777</c:v>
                </c:pt>
                <c:pt idx="97">
                  <c:v>10.498918107581968</c:v>
                </c:pt>
                <c:pt idx="98">
                  <c:v>10.715671398834999</c:v>
                </c:pt>
                <c:pt idx="99">
                  <c:v>10.934533011317715</c:v>
                </c:pt>
                <c:pt idx="100">
                  <c:v>11.155498874743136</c:v>
                </c:pt>
                <c:pt idx="101">
                  <c:v>11.378564887170587</c:v>
                </c:pt>
                <c:pt idx="102">
                  <c:v>11.603726915105558</c:v>
                </c:pt>
                <c:pt idx="103">
                  <c:v>11.830980793600466</c:v>
                </c:pt>
                <c:pt idx="104">
                  <c:v>12.06032232635612</c:v>
                </c:pt>
                <c:pt idx="105">
                  <c:v>12.291747285824135</c:v>
                </c:pt>
                <c:pt idx="106">
                  <c:v>12.525251413310025</c:v>
                </c:pt>
                <c:pt idx="107">
                  <c:v>12.760830419077234</c:v>
                </c:pt>
                <c:pt idx="108">
                  <c:v>12.998479982451904</c:v>
                </c:pt>
                <c:pt idx="109">
                  <c:v>13.238195751928512</c:v>
                </c:pt>
                <c:pt idx="110">
                  <c:v>13.479973345276308</c:v>
                </c:pt>
                <c:pt idx="111">
                  <c:v>13.723808349646564</c:v>
                </c:pt>
                <c:pt idx="112">
                  <c:v>13.969696321680679</c:v>
                </c:pt>
                <c:pt idx="113">
                  <c:v>14.217632787619062</c:v>
                </c:pt>
                <c:pt idx="114">
                  <c:v>14.467613243410851</c:v>
                </c:pt>
                <c:pt idx="115">
                  <c:v>14.719633154824503</c:v>
                </c:pt>
                <c:pt idx="116">
                  <c:v>14.973687957559097</c:v>
                </c:pt>
                <c:pt idx="117">
                  <c:v>15.229773057356519</c:v>
                </c:pt>
                <c:pt idx="118">
                  <c:v>15.487883830114505</c:v>
                </c:pt>
                <c:pt idx="119">
                  <c:v>15.748015622000409</c:v>
                </c:pt>
                <c:pt idx="120">
                  <c:v>16.010163749565823</c:v>
                </c:pt>
                <c:pt idx="121">
                  <c:v>16.274323499862017</c:v>
                </c:pt>
                <c:pt idx="122">
                  <c:v>16.540490130556176</c:v>
                </c:pt>
                <c:pt idx="123">
                  <c:v>16.808658870048465</c:v>
                </c:pt>
                <c:pt idx="124">
                  <c:v>17.078824917589827</c:v>
                </c:pt>
                <c:pt idx="125">
                  <c:v>17.350983443400725</c:v>
                </c:pt>
                <c:pt idx="126">
                  <c:v>17.625129588790465</c:v>
                </c:pt>
                <c:pt idx="127">
                  <c:v>17.901258466277572</c:v>
                </c:pt>
                <c:pt idx="128">
                  <c:v>18.179365159710759</c:v>
                </c:pt>
                <c:pt idx="129">
                  <c:v>18.459318571886868</c:v>
                </c:pt>
                <c:pt idx="130">
                  <c:v>18.740983621647057</c:v>
                </c:pt>
                <c:pt idx="131">
                  <c:v>19.024349405880368</c:v>
                </c:pt>
                <c:pt idx="132">
                  <c:v>19.309405004214245</c:v>
                </c:pt>
                <c:pt idx="133">
                  <c:v>19.596139479343694</c:v>
                </c:pt>
                <c:pt idx="134">
                  <c:v>19.884541877360427</c:v>
                </c:pt>
                <c:pt idx="135">
                  <c:v>20.174601228082068</c:v>
                </c:pt>
                <c:pt idx="136">
                  <c:v>20.466306545381439</c:v>
                </c:pt>
                <c:pt idx="137">
                  <c:v>20.759646827515759</c:v>
                </c:pt>
                <c:pt idx="138">
                  <c:v>21.054611057455986</c:v>
                </c:pt>
                <c:pt idx="139">
                  <c:v>21.35118820321593</c:v>
                </c:pt>
                <c:pt idx="140">
                  <c:v>21.64936721818157</c:v>
                </c:pt>
                <c:pt idx="141">
                  <c:v>21.949137041440164</c:v>
                </c:pt>
                <c:pt idx="142">
                  <c:v>22.250486598109333</c:v>
                </c:pt>
                <c:pt idx="143">
                  <c:v>22.553404799666097</c:v>
                </c:pt>
                <c:pt idx="144">
                  <c:v>22.857880544275833</c:v>
                </c:pt>
                <c:pt idx="145">
                  <c:v>23.163902717121047</c:v>
                </c:pt>
                <c:pt idx="146">
                  <c:v>23.471460190730117</c:v>
                </c:pt>
                <c:pt idx="147">
                  <c:v>23.780541825305885</c:v>
                </c:pt>
                <c:pt idx="148">
                  <c:v>24.091136469053993</c:v>
                </c:pt>
                <c:pt idx="149">
                  <c:v>24.403232958511232</c:v>
                </c:pt>
                <c:pt idx="150">
                  <c:v>24.716820118873589</c:v>
                </c:pt>
                <c:pt idx="151">
                  <c:v>25.03188676432411</c:v>
                </c:pt>
                <c:pt idx="152">
                  <c:v>25.348421698360621</c:v>
                </c:pt>
                <c:pt idx="153">
                  <c:v>25.666413714123088</c:v>
                </c:pt>
                <c:pt idx="154">
                  <c:v>25.985851594720966</c:v>
                </c:pt>
                <c:pt idx="155">
                  <c:v>26.306724113560033</c:v>
                </c:pt>
                <c:pt idx="156">
                  <c:v>26.629020034669168</c:v>
                </c:pt>
                <c:pt idx="157">
                  <c:v>26.952728113026705</c:v>
                </c:pt>
                <c:pt idx="158">
                  <c:v>27.27783709488655</c:v>
                </c:pt>
                <c:pt idx="159">
                  <c:v>27.604335718104053</c:v>
                </c:pt>
                <c:pt idx="160">
                  <c:v>27.932212712461371</c:v>
                </c:pt>
                <c:pt idx="161">
                  <c:v>28.261456799992686</c:v>
                </c:pt>
                <c:pt idx="162">
                  <c:v>28.592056695308887</c:v>
                </c:pt>
                <c:pt idx="163">
                  <c:v>28.92400110592213</c:v>
                </c:pt>
                <c:pt idx="164">
                  <c:v>29.257278732569649</c:v>
                </c:pt>
                <c:pt idx="165">
                  <c:v>29.591878269537577</c:v>
                </c:pt>
                <c:pt idx="166">
                  <c:v>29.927788404983978</c:v>
                </c:pt>
                <c:pt idx="167">
                  <c:v>30.264997821261765</c:v>
                </c:pt>
                <c:pt idx="168">
                  <c:v>30.603495195240935</c:v>
                </c:pt>
                <c:pt idx="169">
                  <c:v>30.94326919863046</c:v>
                </c:pt>
                <c:pt idx="170">
                  <c:v>31.284308498299712</c:v>
                </c:pt>
                <c:pt idx="171">
                  <c:v>31.626601756599367</c:v>
                </c:pt>
                <c:pt idx="172">
                  <c:v>31.970137631681837</c:v>
                </c:pt>
                <c:pt idx="173">
                  <c:v>32.314904777821077</c:v>
                </c:pt>
                <c:pt idx="174">
                  <c:v>32.660891845732124</c:v>
                </c:pt>
                <c:pt idx="175">
                  <c:v>33.008087482889756</c:v>
                </c:pt>
                <c:pt idx="176">
                  <c:v>33.356480333846868</c:v>
                </c:pt>
                <c:pt idx="177">
                  <c:v>33.706059040552113</c:v>
                </c:pt>
                <c:pt idx="178">
                  <c:v>34.056812242667</c:v>
                </c:pt>
                <c:pt idx="179">
                  <c:v>34.408728577882506</c:v>
                </c:pt>
                <c:pt idx="180">
                  <c:v>34.761796682234881</c:v>
                </c:pt>
                <c:pt idx="181">
                  <c:v>35.116005190420893</c:v>
                </c:pt>
                <c:pt idx="182">
                  <c:v>35.471342736112597</c:v>
                </c:pt>
                <c:pt idx="183">
                  <c:v>35.82779795227119</c:v>
                </c:pt>
                <c:pt idx="184">
                  <c:v>36.185359471460387</c:v>
                </c:pt>
                <c:pt idx="185">
                  <c:v>36.544015926158991</c:v>
                </c:pt>
                <c:pt idx="186">
                  <c:v>36.903755949072909</c:v>
                </c:pt>
                <c:pt idx="187">
                  <c:v>37.264568173446278</c:v>
                </c:pt>
                <c:pt idx="188">
                  <c:v>37.626441233372098</c:v>
                </c:pt>
                <c:pt idx="189">
                  <c:v>37.989363764101853</c:v>
                </c:pt>
                <c:pt idx="190">
                  <c:v>38.353324402354673</c:v>
                </c:pt>
                <c:pt idx="191">
                  <c:v>38.718311786625506</c:v>
                </c:pt>
                <c:pt idx="192">
                  <c:v>39.084314557492661</c:v>
                </c:pt>
                <c:pt idx="193">
                  <c:v>39.451321357924463</c:v>
                </c:pt>
                <c:pt idx="194">
                  <c:v>39.819320833585188</c:v>
                </c:pt>
                <c:pt idx="195">
                  <c:v>40.188301633140192</c:v>
                </c:pt>
                <c:pt idx="196">
                  <c:v>40.558252408560008</c:v>
                </c:pt>
                <c:pt idx="197">
                  <c:v>40.92916181542401</c:v>
                </c:pt>
                <c:pt idx="198">
                  <c:v>41.301018513222836</c:v>
                </c:pt>
                <c:pt idx="199">
                  <c:v>41.673811165660169</c:v>
                </c:pt>
                <c:pt idx="200">
                  <c:v>42.047528440953521</c:v>
                </c:pt>
                <c:pt idx="201">
                  <c:v>42.422159012134237</c:v>
                </c:pt>
                <c:pt idx="202">
                  <c:v>42.797691557346504</c:v>
                </c:pt>
                <c:pt idx="203">
                  <c:v>43.174114760145599</c:v>
                </c:pt>
                <c:pt idx="204">
                  <c:v>43.55141730979495</c:v>
                </c:pt>
                <c:pt idx="205">
                  <c:v>43.92958790156252</c:v>
                </c:pt>
                <c:pt idx="206">
                  <c:v>44.308567956534397</c:v>
                </c:pt>
                <c:pt idx="207">
                  <c:v>44.688298069656518</c:v>
                </c:pt>
                <c:pt idx="208">
                  <c:v>45.068765725660256</c:v>
                </c:pt>
                <c:pt idx="209">
                  <c:v>45.44995842260186</c:v>
                </c:pt>
                <c:pt idx="210">
                  <c:v>45.831863672191389</c:v>
                </c:pt>
                <c:pt idx="211">
                  <c:v>46.214469000120133</c:v>
                </c:pt>
                <c:pt idx="212">
                  <c:v>46.59776194638669</c:v>
                </c:pt>
                <c:pt idx="213">
                  <c:v>46.981730065621313</c:v>
                </c:pt>
                <c:pt idx="214">
                  <c:v>47.366360927409396</c:v>
                </c:pt>
                <c:pt idx="215">
                  <c:v>47.751642116612906</c:v>
                </c:pt>
                <c:pt idx="216">
                  <c:v>48.137561233690569</c:v>
                </c:pt>
                <c:pt idx="217">
                  <c:v>48.524105895016696</c:v>
                </c:pt>
                <c:pt idx="218">
                  <c:v>48.911263733198389</c:v>
                </c:pt>
                <c:pt idx="219">
                  <c:v>49.299022397391113</c:v>
                </c:pt>
                <c:pt idx="220">
                  <c:v>49.687369553613053</c:v>
                </c:pt>
                <c:pt idx="221">
                  <c:v>50.076292885057732</c:v>
                </c:pt>
                <c:pt idx="222">
                  <c:v>50.465780092404955</c:v>
                </c:pt>
                <c:pt idx="223">
                  <c:v>50.855818894130785</c:v>
                </c:pt>
                <c:pt idx="224">
                  <c:v>51.246397026814975</c:v>
                </c:pt>
                <c:pt idx="225">
                  <c:v>51.637502245447962</c:v>
                </c:pt>
                <c:pt idx="226">
                  <c:v>52.029122323735315</c:v>
                </c:pt>
                <c:pt idx="227">
                  <c:v>52.421245054401197</c:v>
                </c:pt>
                <c:pt idx="228">
                  <c:v>52.813858249489961</c:v>
                </c:pt>
                <c:pt idx="229">
                  <c:v>53.206949740666175</c:v>
                </c:pt>
                <c:pt idx="230">
                  <c:v>53.600507379513033</c:v>
                </c:pt>
                <c:pt idx="231">
                  <c:v>53.994519037829207</c:v>
                </c:pt>
                <c:pt idx="232">
                  <c:v>54.388972607923762</c:v>
                </c:pt>
                <c:pt idx="233">
                  <c:v>54.783856002910071</c:v>
                </c:pt>
                <c:pt idx="234">
                  <c:v>55.179157156997164</c:v>
                </c:pt>
                <c:pt idx="235">
                  <c:v>55.574864025780116</c:v>
                </c:pt>
                <c:pt idx="236">
                  <c:v>55.970964586528567</c:v>
                </c:pt>
                <c:pt idx="237">
                  <c:v>56.36744683847337</c:v>
                </c:pt>
                <c:pt idx="238">
                  <c:v>56.764298803091776</c:v>
                </c:pt>
                <c:pt idx="239">
                  <c:v>57.161508524390818</c:v>
                </c:pt>
                <c:pt idx="240">
                  <c:v>57.5590640691888</c:v>
                </c:pt>
                <c:pt idx="241">
                  <c:v>57.956953527395527</c:v>
                </c:pt>
                <c:pt idx="242">
                  <c:v>58.354978146602882</c:v>
                </c:pt>
                <c:pt idx="243">
                  <c:v>58.752936594854283</c:v>
                </c:pt>
                <c:pt idx="244">
                  <c:v>59.150813214753377</c:v>
                </c:pt>
                <c:pt idx="245">
                  <c:v>59.548592401455799</c:v>
                </c:pt>
                <c:pt idx="246">
                  <c:v>59.946258603038778</c:v>
                </c:pt>
                <c:pt idx="247">
                  <c:v>60.343796320866758</c:v>
                </c:pt>
                <c:pt idx="248">
                  <c:v>60.741190109953422</c:v>
                </c:pt>
                <c:pt idx="249">
                  <c:v>61.138424579320194</c:v>
                </c:pt>
                <c:pt idx="250">
                  <c:v>61.535484392350988</c:v>
                </c:pt>
                <c:pt idx="251">
                  <c:v>61.932354267143211</c:v>
                </c:pt>
                <c:pt idx="252">
                  <c:v>62.329018976855338</c:v>
                </c:pt>
                <c:pt idx="253">
                  <c:v>62.725463350050553</c:v>
                </c:pt>
                <c:pt idx="254">
                  <c:v>63.1216722710368</c:v>
                </c:pt>
                <c:pt idx="255">
                  <c:v>63.517630680203247</c:v>
                </c:pt>
                <c:pt idx="256">
                  <c:v>63.9133235743531</c:v>
                </c:pt>
                <c:pt idx="257">
                  <c:v>64.30873600703238</c:v>
                </c:pt>
                <c:pt idx="258">
                  <c:v>64.703853088855411</c:v>
                </c:pt>
                <c:pt idx="259">
                  <c:v>65.098659987826551</c:v>
                </c:pt>
                <c:pt idx="260">
                  <c:v>65.49314192965798</c:v>
                </c:pt>
                <c:pt idx="261">
                  <c:v>65.887284198083961</c:v>
                </c:pt>
                <c:pt idx="262">
                  <c:v>66.281072135171627</c:v>
                </c:pt>
                <c:pt idx="263">
                  <c:v>66.674491141627456</c:v>
                </c:pt>
                <c:pt idx="264">
                  <c:v>67.067526677100844</c:v>
                </c:pt>
                <c:pt idx="265">
                  <c:v>67.460164260483225</c:v>
                </c:pt>
                <c:pt idx="266">
                  <c:v>67.852389470204173</c:v>
                </c:pt>
                <c:pt idx="267">
                  <c:v>68.244187944523105</c:v>
                </c:pt>
                <c:pt idx="268">
                  <c:v>68.635545381817906</c:v>
                </c:pt>
                <c:pt idx="269">
                  <c:v>69.026447540869526</c:v>
                </c:pt>
                <c:pt idx="270">
                  <c:v>69.41688024114282</c:v>
                </c:pt>
                <c:pt idx="271">
                  <c:v>69.80682936306404</c:v>
                </c:pt>
                <c:pt idx="272">
                  <c:v>70.196280848294265</c:v>
                </c:pt>
                <c:pt idx="273">
                  <c:v>70.585220699999198</c:v>
                </c:pt>
                <c:pt idx="274">
                  <c:v>70.973634983115559</c:v>
                </c:pt>
                <c:pt idx="275">
                  <c:v>71.361509824613407</c:v>
                </c:pt>
                <c:pt idx="276">
                  <c:v>71.748831413755127</c:v>
                </c:pt>
                <c:pt idx="277">
                  <c:v>72.13558600235028</c:v>
                </c:pt>
                <c:pt idx="278">
                  <c:v>72.521759905007343</c:v>
                </c:pt>
                <c:pt idx="279">
                  <c:v>72.907339499381095</c:v>
                </c:pt>
                <c:pt idx="280">
                  <c:v>73.292311226417183</c:v>
                </c:pt>
                <c:pt idx="281">
                  <c:v>73.676661590592147</c:v>
                </c:pt>
                <c:pt idx="282">
                  <c:v>74.060377160150267</c:v>
                </c:pt>
                <c:pt idx="283">
                  <c:v>74.443444567336684</c:v>
                </c:pt>
                <c:pt idx="284">
                  <c:v>74.826097767363223</c:v>
                </c:pt>
                <c:pt idx="285">
                  <c:v>75.20857331332752</c:v>
                </c:pt>
                <c:pt idx="286">
                  <c:v>75.590861705833447</c:v>
                </c:pt>
                <c:pt idx="287">
                  <c:v>75.97295347601839</c:v>
                </c:pt>
                <c:pt idx="288">
                  <c:v>76.354839185714141</c:v>
                </c:pt>
                <c:pt idx="289">
                  <c:v>76.73650942760537</c:v>
                </c:pt>
                <c:pt idx="290">
                  <c:v>77.117954825386988</c:v>
                </c:pt>
                <c:pt idx="291">
                  <c:v>77.499166033919735</c:v>
                </c:pt>
                <c:pt idx="292">
                  <c:v>77.880133739383794</c:v>
                </c:pt>
                <c:pt idx="293">
                  <c:v>78.260848659431247</c:v>
                </c:pt>
                <c:pt idx="294">
                  <c:v>78.641301543336567</c:v>
                </c:pt>
                <c:pt idx="295">
                  <c:v>79.021483172145395</c:v>
                </c:pt>
                <c:pt idx="296">
                  <c:v>79.401384358821872</c:v>
                </c:pt>
                <c:pt idx="297">
                  <c:v>79.780995948394221</c:v>
                </c:pt>
                <c:pt idx="298">
                  <c:v>80.160308818098656</c:v>
                </c:pt>
                <c:pt idx="299">
                  <c:v>80.53931387752165</c:v>
                </c:pt>
                <c:pt idx="300">
                  <c:v>80.918002068740449</c:v>
                </c:pt>
                <c:pt idx="301">
                  <c:v>81.296364366462129</c:v>
                </c:pt>
                <c:pt idx="302">
                  <c:v>81.674391778160796</c:v>
                </c:pt>
                <c:pt idx="303">
                  <c:v>82.05207534421335</c:v>
                </c:pt>
                <c:pt idx="304">
                  <c:v>82.429406138033329</c:v>
                </c:pt>
                <c:pt idx="305">
                  <c:v>82.806375266203247</c:v>
                </c:pt>
                <c:pt idx="306">
                  <c:v>83.182973868605472</c:v>
                </c:pt>
                <c:pt idx="307">
                  <c:v>83.559193118550908</c:v>
                </c:pt>
                <c:pt idx="308">
                  <c:v>83.935024222906691</c:v>
                </c:pt>
                <c:pt idx="309">
                  <c:v>84.310458422221529</c:v>
                </c:pt>
                <c:pt idx="310">
                  <c:v>84.685486990850279</c:v>
                </c:pt>
                <c:pt idx="311">
                  <c:v>85.060101237075912</c:v>
                </c:pt>
                <c:pt idx="312">
                  <c:v>85.434292503230552</c:v>
                </c:pt>
                <c:pt idx="313">
                  <c:v>85.808052165814544</c:v>
                </c:pt>
                <c:pt idx="314">
                  <c:v>86.1813716356139</c:v>
                </c:pt>
                <c:pt idx="315">
                  <c:v>86.554242357816221</c:v>
                </c:pt>
                <c:pt idx="316">
                  <c:v>86.926655812124793</c:v>
                </c:pt>
                <c:pt idx="317">
                  <c:v>87.298603512871495</c:v>
                </c:pt>
                <c:pt idx="318">
                  <c:v>87.670077009127255</c:v>
                </c:pt>
                <c:pt idx="319">
                  <c:v>88.041067884811795</c:v>
                </c:pt>
                <c:pt idx="320">
                  <c:v>88.411567758800942</c:v>
                </c:pt>
                <c:pt idx="321">
                  <c:v>88.78156828503306</c:v>
                </c:pt>
                <c:pt idx="322">
                  <c:v>89.151061152613309</c:v>
                </c:pt>
                <c:pt idx="323">
                  <c:v>89.520038085916241</c:v>
                </c:pt>
                <c:pt idx="324">
                  <c:v>89.888490844687425</c:v>
                </c:pt>
                <c:pt idx="325">
                  <c:v>90.25641122414261</c:v>
                </c:pt>
                <c:pt idx="326">
                  <c:v>90.623807686270169</c:v>
                </c:pt>
                <c:pt idx="327">
                  <c:v>90.990688860708303</c:v>
                </c:pt>
                <c:pt idx="328">
                  <c:v>91.35704683882615</c:v>
                </c:pt>
                <c:pt idx="329">
                  <c:v>91.722873746028995</c:v>
                </c:pt>
                <c:pt idx="330">
                  <c:v>92.088161741848708</c:v>
                </c:pt>
                <c:pt idx="331">
                  <c:v>92.452903020032394</c:v>
                </c:pt>
                <c:pt idx="332">
                  <c:v>92.817089808630072</c:v>
                </c:pt>
                <c:pt idx="333">
                  <c:v>93.180714370080054</c:v>
                </c:pt>
                <c:pt idx="334">
                  <c:v>93.543769001293938</c:v>
                </c:pt>
                <c:pt idx="335">
                  <c:v>93.906246033738725</c:v>
                </c:pt>
                <c:pt idx="336">
                  <c:v>94.268137833518779</c:v>
                </c:pt>
                <c:pt idx="337">
                  <c:v>94.629436801455114</c:v>
                </c:pt>
                <c:pt idx="338">
                  <c:v>94.990135373164478</c:v>
                </c:pt>
                <c:pt idx="339">
                  <c:v>95.350226019135391</c:v>
                </c:pt>
                <c:pt idx="340">
                  <c:v>95.709701244804137</c:v>
                </c:pt>
                <c:pt idx="341">
                  <c:v>96.068553590628341</c:v>
                </c:pt>
                <c:pt idx="342">
                  <c:v>96.426775632159703</c:v>
                </c:pt>
                <c:pt idx="343">
                  <c:v>96.784359980114644</c:v>
                </c:pt>
                <c:pt idx="344">
                  <c:v>97.141299280443988</c:v>
                </c:pt>
                <c:pt idx="345">
                  <c:v>97.497586214400783</c:v>
                </c:pt>
                <c:pt idx="346">
                  <c:v>97.853213498607175</c:v>
                </c:pt>
                <c:pt idx="347">
                  <c:v>98.208173885119194</c:v>
                </c:pt>
                <c:pt idx="348">
                  <c:v>98.562460161490606</c:v>
                </c:pt>
                <c:pt idx="349">
                  <c:v>98.916065150834896</c:v>
                </c:pt>
                <c:pt idx="350">
                  <c:v>99.268981711886326</c:v>
                </c:pt>
                <c:pt idx="351">
                  <c:v>99.621202739059115</c:v>
                </c:pt>
                <c:pt idx="352">
                  <c:v>99.972721162505053</c:v>
                </c:pt>
                <c:pt idx="353">
                  <c:v>100.32352994817032</c:v>
                </c:pt>
                <c:pt idx="354">
                  <c:v>100.67362209785027</c:v>
                </c:pt>
                <c:pt idx="355">
                  <c:v>101.02299064924317</c:v>
                </c:pt>
                <c:pt idx="356">
                  <c:v>101.37162867600215</c:v>
                </c:pt>
                <c:pt idx="357">
                  <c:v>101.71952928778624</c:v>
                </c:pt>
                <c:pt idx="358">
                  <c:v>102.06668563030959</c:v>
                </c:pt>
                <c:pt idx="359">
                  <c:v>102.41309088538921</c:v>
                </c:pt>
                <c:pt idx="360">
                  <c:v>102.7587382709918</c:v>
                </c:pt>
                <c:pt idx="361">
                  <c:v>103.10362104127877</c:v>
                </c:pt>
                <c:pt idx="362">
                  <c:v>103.44773248665003</c:v>
                </c:pt>
                <c:pt idx="363">
                  <c:v>103.79106593378626</c:v>
                </c:pt>
                <c:pt idx="364">
                  <c:v>104.13361474569014</c:v>
                </c:pt>
                <c:pt idx="365">
                  <c:v>104.47537232172547</c:v>
                </c:pt>
                <c:pt idx="366">
                  <c:v>104.81678319461564</c:v>
                </c:pt>
                <c:pt idx="367">
                  <c:v>105.15829471781466</c:v>
                </c:pt>
                <c:pt idx="368">
                  <c:v>105.4999043319154</c:v>
                </c:pt>
                <c:pt idx="369">
                  <c:v>105.84160948111925</c:v>
                </c:pt>
                <c:pt idx="370">
                  <c:v>106.18340761326409</c:v>
                </c:pt>
                <c:pt idx="371">
                  <c:v>106.52529617985192</c:v>
                </c:pt>
                <c:pt idx="372">
                  <c:v>106.86727263607601</c:v>
                </c:pt>
                <c:pt idx="373">
                  <c:v>107.20933444084879</c:v>
                </c:pt>
                <c:pt idx="374">
                  <c:v>107.55147905682826</c:v>
                </c:pt>
                <c:pt idx="375">
                  <c:v>107.89370395044591</c:v>
                </c:pt>
                <c:pt idx="376">
                  <c:v>108.23600659193268</c:v>
                </c:pt>
                <c:pt idx="377">
                  <c:v>108.57838445534648</c:v>
                </c:pt>
                <c:pt idx="378">
                  <c:v>108.92083501859851</c:v>
                </c:pt>
                <c:pt idx="379">
                  <c:v>109.26335576347948</c:v>
                </c:pt>
                <c:pt idx="380">
                  <c:v>109.60594417568643</c:v>
                </c:pt>
                <c:pt idx="381">
                  <c:v>109.94810009188411</c:v>
                </c:pt>
                <c:pt idx="382">
                  <c:v>110.28932044064635</c:v>
                </c:pt>
                <c:pt idx="383">
                  <c:v>110.62959862838008</c:v>
                </c:pt>
                <c:pt idx="384">
                  <c:v>110.96892810232173</c:v>
                </c:pt>
                <c:pt idx="385">
                  <c:v>111.30730235055802</c:v>
                </c:pt>
                <c:pt idx="386">
                  <c:v>111.64471490204549</c:v>
                </c:pt>
                <c:pt idx="387">
                  <c:v>111.98115932662809</c:v>
                </c:pt>
                <c:pt idx="388">
                  <c:v>112.31662923505363</c:v>
                </c:pt>
                <c:pt idx="389">
                  <c:v>112.65111827898872</c:v>
                </c:pt>
                <c:pt idx="390">
                  <c:v>112.98462015103249</c:v>
                </c:pt>
                <c:pt idx="391">
                  <c:v>113.31712858472845</c:v>
                </c:pt>
                <c:pt idx="392">
                  <c:v>113.64863735457497</c:v>
                </c:pt>
                <c:pt idx="393">
                  <c:v>113.97914027603477</c:v>
                </c:pt>
                <c:pt idx="394">
                  <c:v>114.30863120554268</c:v>
                </c:pt>
                <c:pt idx="395">
                  <c:v>114.6371040405117</c:v>
                </c:pt>
                <c:pt idx="396">
                  <c:v>114.96455271933847</c:v>
                </c:pt>
                <c:pt idx="397">
                  <c:v>115.29097122140629</c:v>
                </c:pt>
                <c:pt idx="398">
                  <c:v>115.61635356708794</c:v>
                </c:pt>
                <c:pt idx="399">
                  <c:v>115.94069381774588</c:v>
                </c:pt>
                <c:pt idx="400">
                  <c:v>116.26398607573212</c:v>
                </c:pt>
                <c:pt idx="401">
                  <c:v>116.58582336199206</c:v>
                </c:pt>
                <c:pt idx="402">
                  <c:v>116.90579671587348</c:v>
                </c:pt>
                <c:pt idx="403">
                  <c:v>117.22389757361518</c:v>
                </c:pt>
                <c:pt idx="404">
                  <c:v>117.54011746170332</c:v>
                </c:pt>
                <c:pt idx="405">
                  <c:v>117.8544479967933</c:v>
                </c:pt>
                <c:pt idx="406">
                  <c:v>118.16688088562786</c:v>
                </c:pt>
                <c:pt idx="407">
                  <c:v>118.47740792495264</c:v>
                </c:pt>
                <c:pt idx="408">
                  <c:v>118.78602100142766</c:v>
                </c:pt>
                <c:pt idx="409">
                  <c:v>119.09271209153576</c:v>
                </c:pt>
                <c:pt idx="410">
                  <c:v>119.39747326148802</c:v>
                </c:pt>
                <c:pt idx="411">
                  <c:v>119.69805656251049</c:v>
                </c:pt>
                <c:pt idx="412">
                  <c:v>119.99220417049516</c:v>
                </c:pt>
                <c:pt idx="413">
                  <c:v>120.27989509838491</c:v>
                </c:pt>
                <c:pt idx="414">
                  <c:v>120.56110904485972</c:v>
                </c:pt>
                <c:pt idx="415">
                  <c:v>120.83582639284428</c:v>
                </c:pt>
                <c:pt idx="416">
                  <c:v>121.1040282079737</c:v>
                </c:pt>
                <c:pt idx="417">
                  <c:v>121.36569623701662</c:v>
                </c:pt>
                <c:pt idx="418">
                  <c:v>121.62081290625784</c:v>
                </c:pt>
                <c:pt idx="419">
                  <c:v>121.86936131983987</c:v>
                </c:pt>
                <c:pt idx="420">
                  <c:v>122.11004110792535</c:v>
                </c:pt>
                <c:pt idx="421">
                  <c:v>122.34154850583681</c:v>
                </c:pt>
                <c:pt idx="422">
                  <c:v>122.56386365467476</c:v>
                </c:pt>
                <c:pt idx="423">
                  <c:v>122.77696794560175</c:v>
                </c:pt>
                <c:pt idx="424">
                  <c:v>122.98084401621236</c:v>
                </c:pt>
                <c:pt idx="425">
                  <c:v>123.17547574681433</c:v>
                </c:pt>
                <c:pt idx="426">
                  <c:v>123.36084825662461</c:v>
                </c:pt>
                <c:pt idx="427">
                  <c:v>123.53694789987902</c:v>
                </c:pt>
                <c:pt idx="428">
                  <c:v>123.70376226185952</c:v>
                </c:pt>
                <c:pt idx="429">
                  <c:v>123.86128015483914</c:v>
                </c:pt>
                <c:pt idx="430">
                  <c:v>124.00949161394693</c:v>
                </c:pt>
                <c:pt idx="431">
                  <c:v>124.14838789295452</c:v>
                </c:pt>
                <c:pt idx="432">
                  <c:v>124.27587978550304</c:v>
                </c:pt>
                <c:pt idx="433">
                  <c:v>124.38987718904229</c:v>
                </c:pt>
                <c:pt idx="434">
                  <c:v>124.49037390973928</c:v>
                </c:pt>
                <c:pt idx="435">
                  <c:v>124.57736623728434</c:v>
                </c:pt>
                <c:pt idx="436">
                  <c:v>124.65085293515546</c:v>
                </c:pt>
                <c:pt idx="437">
                  <c:v>124.71083523067752</c:v>
                </c:pt>
                <c:pt idx="438">
                  <c:v>124.75731680488209</c:v>
                </c:pt>
                <c:pt idx="439">
                  <c:v>124.79030378217186</c:v>
                </c:pt>
                <c:pt idx="440">
                  <c:v>124.80980471979453</c:v>
                </c:pt>
                <c:pt idx="441">
                  <c:v>124.81583059713081</c:v>
                </c:pt>
                <c:pt idx="442">
                  <c:v>124.80965916198825</c:v>
                </c:pt>
                <c:pt idx="443">
                  <c:v>124.79256877074397</c:v>
                </c:pt>
                <c:pt idx="444">
                  <c:v>124.76457362361677</c:v>
                </c:pt>
                <c:pt idx="445">
                  <c:v>124.72568948636972</c:v>
                </c:pt>
                <c:pt idx="446">
                  <c:v>124.67593368275038</c:v>
                </c:pt>
                <c:pt idx="447">
                  <c:v>124.61532508685099</c:v>
                </c:pt>
                <c:pt idx="448">
                  <c:v>124.54388411539125</c:v>
                </c:pt>
                <c:pt idx="449">
                  <c:v>124.46163271992509</c:v>
                </c:pt>
                <c:pt idx="450">
                  <c:v>124.36859437897535</c:v>
                </c:pt>
                <c:pt idx="451">
                  <c:v>124.26479409009714</c:v>
                </c:pt>
                <c:pt idx="452">
                  <c:v>124.15025836187435</c:v>
                </c:pt>
                <c:pt idx="453">
                  <c:v>124.02681655360018</c:v>
                </c:pt>
                <c:pt idx="454">
                  <c:v>123.89629329866139</c:v>
                </c:pt>
                <c:pt idx="455">
                  <c:v>123.75870865937347</c:v>
                </c:pt>
                <c:pt idx="456">
                  <c:v>123.61408333909108</c:v>
                </c:pt>
                <c:pt idx="457">
                  <c:v>123.46243867861406</c:v>
                </c:pt>
                <c:pt idx="458">
                  <c:v>123.30379665258396</c:v>
                </c:pt>
                <c:pt idx="459">
                  <c:v>123.13817986587185</c:v>
                </c:pt>
                <c:pt idx="460">
                  <c:v>122.96561154995838</c:v>
                </c:pt>
                <c:pt idx="461">
                  <c:v>122.78772659335745</c:v>
                </c:pt>
                <c:pt idx="462">
                  <c:v>122.6061534432155</c:v>
                </c:pt>
                <c:pt idx="463">
                  <c:v>122.42090539964411</c:v>
                </c:pt>
                <c:pt idx="464">
                  <c:v>122.23199593006771</c:v>
                </c:pt>
                <c:pt idx="465">
                  <c:v>122.03943866820879</c:v>
                </c:pt>
                <c:pt idx="466">
                  <c:v>121.84190013206016</c:v>
                </c:pt>
                <c:pt idx="467">
                  <c:v>121.63805337287671</c:v>
                </c:pt>
                <c:pt idx="468">
                  <c:v>121.41294910954362</c:v>
                </c:pt>
                <c:pt idx="469">
                  <c:v>121.17002231262161</c:v>
                </c:pt>
                <c:pt idx="470">
                  <c:v>120.92763401898554</c:v>
                </c:pt>
                <c:pt idx="471">
                  <c:v>120.68578268847646</c:v>
                </c:pt>
                <c:pt idx="472">
                  <c:v>120.44446678656402</c:v>
                </c:pt>
                <c:pt idx="473">
                  <c:v>120.20368478432162</c:v>
                </c:pt>
                <c:pt idx="474">
                  <c:v>119.96343515840162</c:v>
                </c:pt>
                <c:pt idx="475">
                  <c:v>119.72371639101131</c:v>
                </c:pt>
                <c:pt idx="476">
                  <c:v>119.48452696988802</c:v>
                </c:pt>
                <c:pt idx="477">
                  <c:v>119.24586538827525</c:v>
                </c:pt>
                <c:pt idx="478">
                  <c:v>119.0077301448984</c:v>
                </c:pt>
                <c:pt idx="479">
                  <c:v>118.77011974394075</c:v>
                </c:pt>
                <c:pt idx="480">
                  <c:v>118.5330326950196</c:v>
                </c:pt>
                <c:pt idx="481">
                  <c:v>118.29646751316267</c:v>
                </c:pt>
                <c:pt idx="482">
                  <c:v>118.06042271878427</c:v>
                </c:pt>
                <c:pt idx="483">
                  <c:v>117.82489683766195</c:v>
                </c:pt>
                <c:pt idx="484">
                  <c:v>117.58988840091304</c:v>
                </c:pt>
                <c:pt idx="485">
                  <c:v>117.35539594497136</c:v>
                </c:pt>
                <c:pt idx="486">
                  <c:v>117.12141801156413</c:v>
                </c:pt>
                <c:pt idx="487">
                  <c:v>116.88795314768889</c:v>
                </c:pt>
                <c:pt idx="488">
                  <c:v>116.65499990559074</c:v>
                </c:pt>
                <c:pt idx="489">
                  <c:v>116.42255684273933</c:v>
                </c:pt>
                <c:pt idx="490">
                  <c:v>116.19062252180629</c:v>
                </c:pt>
                <c:pt idx="491">
                  <c:v>115.95919551064269</c:v>
                </c:pt>
                <c:pt idx="492">
                  <c:v>115.72827438225646</c:v>
                </c:pt>
                <c:pt idx="493">
                  <c:v>115.49785771479043</c:v>
                </c:pt>
                <c:pt idx="494">
                  <c:v>115.26794409149952</c:v>
                </c:pt>
                <c:pt idx="495">
                  <c:v>115.03853210072917</c:v>
                </c:pt>
                <c:pt idx="496">
                  <c:v>114.809620335893</c:v>
                </c:pt>
                <c:pt idx="497">
                  <c:v>114.58120739545117</c:v>
                </c:pt>
                <c:pt idx="498">
                  <c:v>114.35329188288841</c:v>
                </c:pt>
                <c:pt idx="499">
                  <c:v>114.12587240669241</c:v>
                </c:pt>
                <c:pt idx="500">
                  <c:v>113.89894758033248</c:v>
                </c:pt>
                <c:pt idx="501">
                  <c:v>111.64778746226052</c:v>
                </c:pt>
                <c:pt idx="502">
                  <c:v>109.44506721163346</c:v>
                </c:pt>
                <c:pt idx="503">
                  <c:v>107.28945712062202</c:v>
                </c:pt>
                <c:pt idx="504">
                  <c:v>105.17967396939029</c:v>
                </c:pt>
                <c:pt idx="505">
                  <c:v>103.1144790834926</c:v>
                </c:pt>
                <c:pt idx="506">
                  <c:v>101.09267648595403</c:v>
                </c:pt>
                <c:pt idx="507">
                  <c:v>99.113111138778066</c:v>
                </c:pt>
                <c:pt idx="508">
                  <c:v>97.174667268952732</c:v>
                </c:pt>
                <c:pt idx="509">
                  <c:v>95.276266774328718</c:v>
                </c:pt>
                <c:pt idx="510">
                  <c:v>93.416867705030683</c:v>
                </c:pt>
                <c:pt idx="511">
                  <c:v>91.595462816323291</c:v>
                </c:pt>
                <c:pt idx="512">
                  <c:v>89.81107818910364</c:v>
                </c:pt>
                <c:pt idx="513">
                  <c:v>88.062771914418761</c:v>
                </c:pt>
                <c:pt idx="514">
                  <c:v>86.349632838625155</c:v>
                </c:pt>
                <c:pt idx="515">
                  <c:v>84.670779366004169</c:v>
                </c:pt>
                <c:pt idx="516">
                  <c:v>83.025358315837906</c:v>
                </c:pt>
                <c:pt idx="517">
                  <c:v>81.412543831123571</c:v>
                </c:pt>
                <c:pt idx="518">
                  <c:v>79.831536336268954</c:v>
                </c:pt>
                <c:pt idx="519">
                  <c:v>78.281561541264509</c:v>
                </c:pt>
                <c:pt idx="520">
                  <c:v>76.761869489971744</c:v>
                </c:pt>
                <c:pt idx="521">
                  <c:v>75.271733650302295</c:v>
                </c:pt>
                <c:pt idx="522">
                  <c:v>73.810450044186467</c:v>
                </c:pt>
                <c:pt idx="523">
                  <c:v>72.37733641535047</c:v>
                </c:pt>
                <c:pt idx="524">
                  <c:v>70.971731433030399</c:v>
                </c:pt>
                <c:pt idx="525">
                  <c:v>69.592993929855709</c:v>
                </c:pt>
                <c:pt idx="526">
                  <c:v>68.240502172232979</c:v>
                </c:pt>
                <c:pt idx="527">
                  <c:v>66.913653161650927</c:v>
                </c:pt>
                <c:pt idx="528">
                  <c:v>65.611861965414889</c:v>
                </c:pt>
                <c:pt idx="529">
                  <c:v>64.334561075399449</c:v>
                </c:pt>
                <c:pt idx="530">
                  <c:v>63.081199793483471</c:v>
                </c:pt>
                <c:pt idx="531">
                  <c:v>61.85124364240388</c:v>
                </c:pt>
                <c:pt idx="532">
                  <c:v>60.644173800830963</c:v>
                </c:pt>
                <c:pt idx="533">
                  <c:v>59.459486561532159</c:v>
                </c:pt>
                <c:pt idx="534">
                  <c:v>58.296692811549846</c:v>
                </c:pt>
                <c:pt idx="535">
                  <c:v>57.155317533375978</c:v>
                </c:pt>
                <c:pt idx="536">
                  <c:v>56.034899326157522</c:v>
                </c:pt>
                <c:pt idx="537">
                  <c:v>54.93498994601854</c:v>
                </c:pt>
                <c:pt idx="538">
                  <c:v>53.855153864629607</c:v>
                </c:pt>
                <c:pt idx="539">
                  <c:v>52.794967845201512</c:v>
                </c:pt>
                <c:pt idx="540">
                  <c:v>51.754020535120468</c:v>
                </c:pt>
                <c:pt idx="541">
                  <c:v>50.731912074482331</c:v>
                </c:pt>
                <c:pt idx="542">
                  <c:v>49.728253719820017</c:v>
                </c:pt>
                <c:pt idx="543">
                  <c:v>48.742667482354449</c:v>
                </c:pt>
                <c:pt idx="544">
                  <c:v>47.774785780131189</c:v>
                </c:pt>
                <c:pt idx="545">
                  <c:v>46.82425110343744</c:v>
                </c:pt>
                <c:pt idx="546">
                  <c:v>45.890715692923564</c:v>
                </c:pt>
                <c:pt idx="547">
                  <c:v>44.973841229880691</c:v>
                </c:pt>
                <c:pt idx="548">
                  <c:v>44.073298538153644</c:v>
                </c:pt>
                <c:pt idx="549">
                  <c:v>43.188767297192513</c:v>
                </c:pt>
                <c:pt idx="550">
                  <c:v>42.319935765770715</c:v>
                </c:pt>
                <c:pt idx="551">
                  <c:v>41.466500515919542</c:v>
                </c:pt>
                <c:pt idx="552">
                  <c:v>40.628166176650581</c:v>
                </c:pt>
                <c:pt idx="553">
                  <c:v>39.804645187057794</c:v>
                </c:pt>
                <c:pt idx="554">
                  <c:v>38.995657558410024</c:v>
                </c:pt>
                <c:pt idx="555">
                  <c:v>38.20093064486295</c:v>
                </c:pt>
                <c:pt idx="556">
                  <c:v>37.420198922436484</c:v>
                </c:pt>
                <c:pt idx="557">
                  <c:v>36.653203775920623</c:v>
                </c:pt>
                <c:pt idx="558">
                  <c:v>35.899693293387159</c:v>
                </c:pt>
                <c:pt idx="559">
                  <c:v>35.159422068000787</c:v>
                </c:pt>
                <c:pt idx="560">
                  <c:v>34.432151006835589</c:v>
                </c:pt>
                <c:pt idx="561">
                  <c:v>33.717647146417427</c:v>
                </c:pt>
                <c:pt idx="562">
                  <c:v>33.015683474724447</c:v>
                </c:pt>
                <c:pt idx="563">
                  <c:v>32.32603875939072</c:v>
                </c:pt>
                <c:pt idx="564">
                  <c:v>31.648497381868314</c:v>
                </c:pt>
                <c:pt idx="565">
                  <c:v>30.982849177315174</c:v>
                </c:pt>
                <c:pt idx="566">
                  <c:v>30.328889279985404</c:v>
                </c:pt>
                <c:pt idx="567">
                  <c:v>29.686417973908849</c:v>
                </c:pt>
                <c:pt idx="568">
                  <c:v>29.055240548656226</c:v>
                </c:pt>
                <c:pt idx="569">
                  <c:v>28.435167159994506</c:v>
                </c:pt>
                <c:pt idx="570">
                  <c:v>27.826012695246018</c:v>
                </c:pt>
                <c:pt idx="571">
                  <c:v>27.227596643172717</c:v>
                </c:pt>
                <c:pt idx="572">
                  <c:v>26.639742968214446</c:v>
                </c:pt>
                <c:pt idx="573">
                  <c:v>26.062279988917584</c:v>
                </c:pt>
                <c:pt idx="574">
                  <c:v>25.495040260397317</c:v>
                </c:pt>
                <c:pt idx="575">
                  <c:v>24.937860460683044</c:v>
                </c:pt>
                <c:pt idx="576">
                  <c:v>24.390581280803303</c:v>
                </c:pt>
                <c:pt idx="577">
                  <c:v>23.853047318472132</c:v>
                </c:pt>
                <c:pt idx="578">
                  <c:v>23.325106975244516</c:v>
                </c:pt>
                <c:pt idx="579">
                  <c:v>22.806612357014227</c:v>
                </c:pt>
                <c:pt idx="580">
                  <c:v>22.29741917773255</c:v>
                </c:pt>
                <c:pt idx="581">
                  <c:v>21.797386666230871</c:v>
                </c:pt>
                <c:pt idx="582">
                  <c:v>21.306377476035571</c:v>
                </c:pt>
                <c:pt idx="583">
                  <c:v>20.82425759806743</c:v>
                </c:pt>
                <c:pt idx="584">
                  <c:v>20.350896276122612</c:v>
                </c:pt>
                <c:pt idx="585">
                  <c:v>19.886165925036039</c:v>
                </c:pt>
                <c:pt idx="586">
                  <c:v>19.429942051431947</c:v>
                </c:pt>
                <c:pt idx="587">
                  <c:v>18.982103176970273</c:v>
                </c:pt>
                <c:pt idx="588">
                  <c:v>18.542530764000926</c:v>
                </c:pt>
                <c:pt idx="589">
                  <c:v>18.11110914354137</c:v>
                </c:pt>
                <c:pt idx="590">
                  <c:v>17.68772544549639</c:v>
                </c:pt>
                <c:pt idx="591">
                  <c:v>17.272269531041708</c:v>
                </c:pt>
                <c:pt idx="592">
                  <c:v>16.86463392709625</c:v>
                </c:pt>
                <c:pt idx="593">
                  <c:v>16.464713762810629</c:v>
                </c:pt>
                <c:pt idx="594">
                  <c:v>16.072406708002045</c:v>
                </c:pt>
                <c:pt idx="595">
                  <c:v>15.687612913468344</c:v>
                </c:pt>
                <c:pt idx="596">
                  <c:v>15.310234953116453</c:v>
                </c:pt>
                <c:pt idx="597">
                  <c:v>14.940177767842693</c:v>
                </c:pt>
                <c:pt idx="598">
                  <c:v>14.577348611104624</c:v>
                </c:pt>
                <c:pt idx="599">
                  <c:v>14.221656996126198</c:v>
                </c:pt>
                <c:pt idx="600">
                  <c:v>13.873014644680078</c:v>
                </c:pt>
                <c:pt idx="601">
                  <c:v>13.53133543739259</c:v>
                </c:pt>
                <c:pt idx="602">
                  <c:v>13.196535365518912</c:v>
                </c:pt>
                <c:pt idx="603">
                  <c:v>12.868532484137468</c:v>
                </c:pt>
                <c:pt idx="604">
                  <c:v>12.547246866714405</c:v>
                </c:pt>
                <c:pt idx="605">
                  <c:v>12.232600560990186</c:v>
                </c:pt>
                <c:pt idx="606">
                  <c:v>11.924517546142114</c:v>
                </c:pt>
                <c:pt idx="607">
                  <c:v>11.622923691177693</c:v>
                </c:pt>
                <c:pt idx="608">
                  <c:v>11.327746714515031</c:v>
                </c:pt>
                <c:pt idx="609">
                  <c:v>11.038916144707802</c:v>
                </c:pt>
                <c:pt idx="610">
                  <c:v>10.756363282273165</c:v>
                </c:pt>
                <c:pt idx="611">
                  <c:v>10.480021162582213</c:v>
                </c:pt>
                <c:pt idx="612">
                  <c:v>10.20982451977336</c:v>
                </c:pt>
                <c:pt idx="613">
                  <c:v>9.9457097516500994</c:v>
                </c:pt>
                <c:pt idx="614">
                  <c:v>9.6876148855250293</c:v>
                </c:pt>
                <c:pt idx="615">
                  <c:v>9.4354795449731466</c:v>
                </c:pt>
                <c:pt idx="616">
                  <c:v>9.1892449174577635</c:v>
                </c:pt>
                <c:pt idx="617">
                  <c:v>8.9488537227930305</c:v>
                </c:pt>
                <c:pt idx="618">
                  <c:v>8.7142501824076746</c:v>
                </c:pt>
                <c:pt idx="619">
                  <c:v>8.4853799893747226</c:v>
                </c:pt>
                <c:pt idx="620">
                  <c:v>8.2621902791726285</c:v>
                </c:pt>
                <c:pt idx="621">
                  <c:v>8.0446296011432601</c:v>
                </c:pt>
                <c:pt idx="622">
                  <c:v>7.832647890612539</c:v>
                </c:pt>
                <c:pt idx="623">
                  <c:v>7.6261964416396557</c:v>
                </c:pt>
                <c:pt idx="624">
                  <c:v>7.4252278803608744</c:v>
                </c:pt>
                <c:pt idx="625">
                  <c:v>7.2296961388939067</c:v>
                </c:pt>
                <c:pt idx="626">
                  <c:v>7.0395564297688864</c:v>
                </c:pt>
                <c:pt idx="627">
                  <c:v>6.8547652208518324</c:v>
                </c:pt>
                <c:pt idx="628">
                  <c:v>6.6752802107263909</c:v>
                </c:pt>
                <c:pt idx="629">
                  <c:v>6.5010603044994273</c:v>
                </c:pt>
                <c:pt idx="630">
                  <c:v>6.3320655899958727</c:v>
                </c:pt>
                <c:pt idx="631">
                  <c:v>6.1682573143079953</c:v>
                </c:pt>
                <c:pt idx="632">
                  <c:v>6.0095978606639644</c:v>
                </c:pt>
                <c:pt idx="633">
                  <c:v>5.8560507255803778</c:v>
                </c:pt>
                <c:pt idx="634">
                  <c:v>5.7075804962631684</c:v>
                </c:pt>
                <c:pt idx="635">
                  <c:v>5.5641528282211015</c:v>
                </c:pt>
                <c:pt idx="636">
                  <c:v>5.4257344230557987</c:v>
                </c:pt>
                <c:pt idx="637">
                  <c:v>5.292293006392379</c:v>
                </c:pt>
                <c:pt idx="638">
                  <c:v>5.1637973059144358</c:v>
                </c:pt>
                <c:pt idx="639">
                  <c:v>5.040217029467513</c:v>
                </c:pt>
                <c:pt idx="640">
                  <c:v>4.9215228431952509</c:v>
                </c:pt>
                <c:pt idx="641">
                  <c:v>4.8076863496728928</c:v>
                </c:pt>
                <c:pt idx="642">
                  <c:v>4.6986800660034271</c:v>
                </c:pt>
                <c:pt idx="643">
                  <c:v>4.5944774018425267</c:v>
                </c:pt>
                <c:pt idx="644">
                  <c:v>4.4950526373194748</c:v>
                </c:pt>
                <c:pt idx="645">
                  <c:v>4.4003809008228236</c:v>
                </c:pt>
                <c:pt idx="646">
                  <c:v>4.3104381466211521</c:v>
                </c:pt>
                <c:pt idx="647">
                  <c:v>4.2252011322914811</c:v>
                </c:pt>
                <c:pt idx="648">
                  <c:v>4.1446473959303622</c:v>
                </c:pt>
                <c:pt idx="649">
                  <c:v>4.0687552331256311</c:v>
                </c:pt>
                <c:pt idx="650">
                  <c:v>3.9975036736699954</c:v>
                </c:pt>
                <c:pt idx="651">
                  <c:v>3.9308724580015695</c:v>
                </c:pt>
                <c:pt idx="652">
                  <c:v>3.8688420133604744</c:v>
                </c:pt>
                <c:pt idx="653">
                  <c:v>3.8113934296552792</c:v>
                </c:pt>
                <c:pt idx="654">
                  <c:v>3.758508435037982</c:v>
                </c:pt>
                <c:pt idx="655">
                  <c:v>3.7101693711914625</c:v>
                </c:pt>
                <c:pt idx="656">
                  <c:v>3.6663591683389325</c:v>
                </c:pt>
                <c:pt idx="657">
                  <c:v>3.6270613199905863</c:v>
                </c:pt>
                <c:pt idx="658">
                  <c:v>3.5922598574484996</c:v>
                </c:pt>
                <c:pt idx="659">
                  <c:v>3.5619393240966875</c:v>
                </c:pt>
                <c:pt idx="660">
                  <c:v>3.5360847495089471</c:v>
                </c:pt>
                <c:pt idx="661">
                  <c:v>3.5146816234126228</c:v>
                </c:pt>
                <c:pt idx="662">
                  <c:v>3.4977158695516546</c:v>
                </c:pt>
                <c:pt idx="663">
                  <c:v>3.4851738194969153</c:v>
                </c:pt>
                <c:pt idx="664">
                  <c:v>3.4770421864560719</c:v>
                </c:pt>
                <c:pt idx="665">
                  <c:v>3.473308039138653</c:v>
                </c:pt>
                <c:pt idx="666">
                  <c:v>3.4739587757346735</c:v>
                </c:pt>
                <c:pt idx="667">
                  <c:v>3.478982098067116</c:v>
                </c:pt>
                <c:pt idx="668">
                  <c:v>3.488365985979542</c:v>
                </c:pt>
                <c:pt idx="669">
                  <c:v>3.5020986720201703</c:v>
                </c:pt>
                <c:pt idx="670">
                  <c:v>3.5201686164829908</c:v>
                </c:pt>
                <c:pt idx="671">
                  <c:v>3.5425644828647767</c:v>
                </c:pt>
                <c:pt idx="672">
                  <c:v>3.5692751137943288</c:v>
                </c:pt>
                <c:pt idx="673">
                  <c:v>3.6002895074870529</c:v>
                </c:pt>
                <c:pt idx="674">
                  <c:v>3.635596794773972</c:v>
                </c:pt>
                <c:pt idx="675">
                  <c:v>3.6751862167498723</c:v>
                </c:pt>
                <c:pt idx="676">
                  <c:v>3.7190471030802419</c:v>
                </c:pt>
                <c:pt idx="677">
                  <c:v>3.76716885100149</c:v>
                </c:pt>
                <c:pt idx="678">
                  <c:v>3.8195409050433948</c:v>
                </c:pt>
                <c:pt idx="679">
                  <c:v>3.8761527374972355</c:v>
                </c:pt>
                <c:pt idx="680">
                  <c:v>3.9369938296475189</c:v>
                </c:pt>
                <c:pt idx="681">
                  <c:v>4.0020536537797797</c:v>
                </c:pt>
                <c:pt idx="682">
                  <c:v>4.0713216559718282</c:v>
                </c:pt>
                <c:pt idx="683">
                  <c:v>4.1447872396708041</c:v>
                </c:pt>
                <c:pt idx="684">
                  <c:v>4.2224397500539634</c:v>
                </c:pt>
                <c:pt idx="685">
                  <c:v>4.3042684591668499</c:v>
                </c:pt>
                <c:pt idx="686">
                  <c:v>4.3902625518288554</c:v>
                </c:pt>
                <c:pt idx="687">
                  <c:v>4.4804111122927592</c:v>
                </c:pt>
                <c:pt idx="688">
                  <c:v>4.5747031116420533</c:v>
                </c:pt>
                <c:pt idx="689">
                  <c:v>4.6731273959073878</c:v>
                </c:pt>
                <c:pt idx="690">
                  <c:v>4.7756726748814389</c:v>
                </c:pt>
                <c:pt idx="691">
                  <c:v>4.8823275116099065</c:v>
                </c:pt>
                <c:pt idx="692">
                  <c:v>4.9930803125351284</c:v>
                </c:pt>
                <c:pt idx="693">
                  <c:v>5.1079193182678271</c:v>
                </c:pt>
                <c:pt idx="694">
                  <c:v>5.2268325949620236</c:v>
                </c:pt>
                <c:pt idx="695">
                  <c:v>5.349808026267727</c:v>
                </c:pt>
                <c:pt idx="696">
                  <c:v>5.4768333058360552</c:v>
                </c:pt>
                <c:pt idx="697">
                  <c:v>5.6078959303515044</c:v>
                </c:pt>
                <c:pt idx="698">
                  <c:v>5.7429831930664861</c:v>
                </c:pt>
                <c:pt idx="699">
                  <c:v>5.8820821778136683</c:v>
                </c:pt>
                <c:pt idx="700">
                  <c:v>6.0251797534723535</c:v>
                </c:pt>
                <c:pt idx="701">
                  <c:v>6.1722625688657047</c:v>
                </c:pt>
                <c:pt idx="702">
                  <c:v>6.323317048066623</c:v>
                </c:pt>
                <c:pt idx="703">
                  <c:v>6.4783293860906364</c:v>
                </c:pt>
                <c:pt idx="704">
                  <c:v>6.6372855449554056</c:v>
                </c:pt>
                <c:pt idx="705">
                  <c:v>6.8001712500870291</c:v>
                </c:pt>
                <c:pt idx="706">
                  <c:v>6.9669719870544631</c:v>
                </c:pt>
                <c:pt idx="707">
                  <c:v>7.1376729986142724</c:v>
                </c:pt>
                <c:pt idx="708">
                  <c:v>7.3122592820487684</c:v>
                </c:pt>
                <c:pt idx="709">
                  <c:v>7.4907155867815822</c:v>
                </c:pt>
                <c:pt idx="710">
                  <c:v>7.6730264122555694</c:v>
                </c:pt>
                <c:pt idx="711">
                  <c:v>7.8591760060588314</c:v>
                </c:pt>
                <c:pt idx="712">
                  <c:v>8.0491483622854236</c:v>
                </c:pt>
                <c:pt idx="713">
                  <c:v>8.2429272201181405</c:v>
                </c:pt>
                <c:pt idx="714">
                  <c:v>8.4404960626216159</c:v>
                </c:pt>
                <c:pt idx="715">
                  <c:v>8.6418381157345259</c:v>
                </c:pt>
                <c:pt idx="716">
                  <c:v>8.8469363474505602</c:v>
                </c:pt>
                <c:pt idx="717">
                  <c:v>9.0557734671783976</c:v>
                </c:pt>
                <c:pt idx="718">
                  <c:v>9.2683319252715322</c:v>
                </c:pt>
                <c:pt idx="719">
                  <c:v>9.4845939127194701</c:v>
                </c:pt>
                <c:pt idx="720">
                  <c:v>9.7045413609922164</c:v>
                </c:pt>
                <c:pt idx="721">
                  <c:v>9.9281559420307204</c:v>
                </c:pt>
                <c:pt idx="722">
                  <c:v>10.155419068376181</c:v>
                </c:pt>
                <c:pt idx="723">
                  <c:v>10.386311893431822</c:v>
                </c:pt>
                <c:pt idx="724">
                  <c:v>10.620815311850935</c:v>
                </c:pt>
                <c:pt idx="725">
                  <c:v>10.858909960045601</c:v>
                </c:pt>
                <c:pt idx="726">
                  <c:v>11.100576216810742</c:v>
                </c:pt>
                <c:pt idx="727">
                  <c:v>11.345794204058576</c:v>
                </c:pt>
                <c:pt idx="728">
                  <c:v>11.594543787658825</c:v>
                </c:pt>
                <c:pt idx="729">
                  <c:v>11.846804578380318</c:v>
                </c:pt>
                <c:pt idx="730">
                  <c:v>12.102555932930077</c:v>
                </c:pt>
                <c:pt idx="731">
                  <c:v>12.36177695508594</c:v>
                </c:pt>
                <c:pt idx="732">
                  <c:v>12.624446496919296</c:v>
                </c:pt>
                <c:pt idx="733">
                  <c:v>12.890543160104597</c:v>
                </c:pt>
                <c:pt idx="734">
                  <c:v>13.160045297312559</c:v>
                </c:pt>
                <c:pt idx="735">
                  <c:v>13.432931013684145</c:v>
                </c:pt>
                <c:pt idx="736">
                  <c:v>13.709178168382593</c:v>
                </c:pt>
                <c:pt idx="737">
                  <c:v>13.988764376220987</c:v>
                </c:pt>
                <c:pt idx="738">
                  <c:v>14.271667009362897</c:v>
                </c:pt>
                <c:pt idx="739">
                  <c:v>14.557863199093976</c:v>
                </c:pt>
                <c:pt idx="740">
                  <c:v>14.847329837662176</c:v>
                </c:pt>
                <c:pt idx="741">
                  <c:v>15.140043580184852</c:v>
                </c:pt>
                <c:pt idx="742">
                  <c:v>15.43598084662063</c:v>
                </c:pt>
                <c:pt idx="743">
                  <c:v>15.735117823804449</c:v>
                </c:pt>
                <c:pt idx="744">
                  <c:v>16.037430467543956</c:v>
                </c:pt>
                <c:pt idx="745">
                  <c:v>16.342894504775739</c:v>
                </c:pt>
                <c:pt idx="746">
                  <c:v>16.651485435779929</c:v>
                </c:pt>
                <c:pt idx="747">
                  <c:v>16.963178536451615</c:v>
                </c:pt>
                <c:pt idx="748">
                  <c:v>17.277948860627784</c:v>
                </c:pt>
                <c:pt idx="749">
                  <c:v>17.595771242468505</c:v>
                </c:pt>
                <c:pt idx="750">
                  <c:v>17.916620298891104</c:v>
                </c:pt>
                <c:pt idx="751">
                  <c:v>18.240470432056011</c:v>
                </c:pt>
                <c:pt idx="752">
                  <c:v>18.567295831903454</c:v>
                </c:pt>
                <c:pt idx="753">
                  <c:v>18.897070478739465</c:v>
                </c:pt>
                <c:pt idx="754">
                  <c:v>19.229768145870572</c:v>
                </c:pt>
                <c:pt idx="755">
                  <c:v>19.565362402285867</c:v>
                </c:pt>
                <c:pt idx="756">
                  <c:v>19.903826615385615</c:v>
                </c:pt>
                <c:pt idx="757">
                  <c:v>20.245133953755385</c:v>
                </c:pt>
                <c:pt idx="758">
                  <c:v>20.589257389984741</c:v>
                </c:pt>
                <c:pt idx="759">
                  <c:v>20.936169703529746</c:v>
                </c:pt>
                <c:pt idx="760">
                  <c:v>21.28584348361824</c:v>
                </c:pt>
                <c:pt idx="761">
                  <c:v>21.63825113219708</c:v>
                </c:pt>
                <c:pt idx="762">
                  <c:v>21.993364866920533</c:v>
                </c:pt>
                <c:pt idx="763">
                  <c:v>22.3511567241789</c:v>
                </c:pt>
                <c:pt idx="764">
                  <c:v>22.711598562166802</c:v>
                </c:pt>
                <c:pt idx="765">
                  <c:v>23.074662063989877</c:v>
                </c:pt>
                <c:pt idx="766">
                  <c:v>23.440318740809651</c:v>
                </c:pt>
                <c:pt idx="767">
                  <c:v>23.808539935025269</c:v>
                </c:pt>
                <c:pt idx="768">
                  <c:v>24.17929682349175</c:v>
                </c:pt>
                <c:pt idx="769">
                  <c:v>24.552560420773688</c:v>
                </c:pt>
                <c:pt idx="770">
                  <c:v>24.928301582433747</c:v>
                </c:pt>
                <c:pt idx="771">
                  <c:v>25.306491008355223</c:v>
                </c:pt>
                <c:pt idx="772">
                  <c:v>25.687099246097883</c:v>
                </c:pt>
                <c:pt idx="773">
                  <c:v>26.070096694286185</c:v>
                </c:pt>
                <c:pt idx="774">
                  <c:v>26.455453606029483</c:v>
                </c:pt>
                <c:pt idx="775">
                  <c:v>26.843140092372963</c:v>
                </c:pt>
                <c:pt idx="776">
                  <c:v>27.233126125778924</c:v>
                </c:pt>
                <c:pt idx="777">
                  <c:v>27.625381543637555</c:v>
                </c:pt>
                <c:pt idx="778">
                  <c:v>28.019876051806353</c:v>
                </c:pt>
                <c:pt idx="779">
                  <c:v>28.416579228177493</c:v>
                </c:pt>
                <c:pt idx="780">
                  <c:v>28.815460526272297</c:v>
                </c:pt>
                <c:pt idx="781">
                  <c:v>29.216489278862223</c:v>
                </c:pt>
                <c:pt idx="782">
                  <c:v>29.619634701615329</c:v>
                </c:pt>
                <c:pt idx="783">
                  <c:v>30.024865896767608</c:v>
                </c:pt>
                <c:pt idx="784">
                  <c:v>30.432151856818372</c:v>
                </c:pt>
                <c:pt idx="785">
                  <c:v>30.84146146824887</c:v>
                </c:pt>
                <c:pt idx="786">
                  <c:v>31.252763515263229</c:v>
                </c:pt>
                <c:pt idx="787">
                  <c:v>31.666026683551333</c:v>
                </c:pt>
                <c:pt idx="788">
                  <c:v>32.081219564072093</c:v>
                </c:pt>
                <c:pt idx="789">
                  <c:v>32.498310656857122</c:v>
                </c:pt>
                <c:pt idx="790">
                  <c:v>32.917268374833355</c:v>
                </c:pt>
                <c:pt idx="791">
                  <c:v>33.338061047664077</c:v>
                </c:pt>
                <c:pt idx="792">
                  <c:v>33.760656925607549</c:v>
                </c:pt>
                <c:pt idx="793">
                  <c:v>34.185024183392166</c:v>
                </c:pt>
                <c:pt idx="794">
                  <c:v>34.611130924107542</c:v>
                </c:pt>
                <c:pt idx="795">
                  <c:v>35.038945183110599</c:v>
                </c:pt>
                <c:pt idx="796">
                  <c:v>35.468434931945666</c:v>
                </c:pt>
                <c:pt idx="797">
                  <c:v>35.899568082277895</c:v>
                </c:pt>
                <c:pt idx="798">
                  <c:v>36.332312489838991</c:v>
                </c:pt>
                <c:pt idx="799">
                  <c:v>36.766635958384576</c:v>
                </c:pt>
                <c:pt idx="800">
                  <c:v>37.202506243662</c:v>
                </c:pt>
                <c:pt idx="801">
                  <c:v>37.639891057387963</c:v>
                </c:pt>
                <c:pt idx="802">
                  <c:v>38.078758071234923</c:v>
                </c:pt>
                <c:pt idx="803">
                  <c:v>38.519074920825517</c:v>
                </c:pt>
                <c:pt idx="804">
                  <c:v>38.960809209733895</c:v>
                </c:pt>
                <c:pt idx="805">
                  <c:v>39.403928513493241</c:v>
                </c:pt>
                <c:pt idx="806">
                  <c:v>39.848400383608471</c:v>
                </c:pt>
                <c:pt idx="807">
                  <c:v>40.294192351573166</c:v>
                </c:pt>
                <c:pt idx="808">
                  <c:v>40.741271932890008</c:v>
                </c:pt>
                <c:pt idx="809">
                  <c:v>41.189606631093376</c:v>
                </c:pt>
                <c:pt idx="810">
                  <c:v>41.639163941773745</c:v>
                </c:pt>
                <c:pt idx="811">
                  <c:v>42.089911356602528</c:v>
                </c:pt>
                <c:pt idx="812">
                  <c:v>42.541816367356383</c:v>
                </c:pt>
                <c:pt idx="813">
                  <c:v>42.994846469940533</c:v>
                </c:pt>
                <c:pt idx="814">
                  <c:v>43.448969168409562</c:v>
                </c:pt>
                <c:pt idx="815">
                  <c:v>43.904151978985176</c:v>
                </c:pt>
                <c:pt idx="816">
                  <c:v>44.360362434069756</c:v>
                </c:pt>
                <c:pt idx="817">
                  <c:v>44.817568086254781</c:v>
                </c:pt>
                <c:pt idx="818">
                  <c:v>45.275736512323441</c:v>
                </c:pt>
                <c:pt idx="819">
                  <c:v>45.734835317246009</c:v>
                </c:pt>
                <c:pt idx="820">
                  <c:v>46.194832138167421</c:v>
                </c:pt>
                <c:pt idx="821">
                  <c:v>46.655694648385932</c:v>
                </c:pt>
                <c:pt idx="822">
                  <c:v>47.117390561322082</c:v>
                </c:pt>
                <c:pt idx="823">
                  <c:v>47.579887634476698</c:v>
                </c:pt>
                <c:pt idx="824">
                  <c:v>48.043153673377425</c:v>
                </c:pt>
                <c:pt idx="825">
                  <c:v>48.507156535512316</c:v>
                </c:pt>
                <c:pt idx="826">
                  <c:v>48.971864134250183</c:v>
                </c:pt>
                <c:pt idx="827">
                  <c:v>49.437244442746021</c:v>
                </c:pt>
                <c:pt idx="828">
                  <c:v>49.903265497831391</c:v>
                </c:pt>
                <c:pt idx="829">
                  <c:v>50.369895403888094</c:v>
                </c:pt>
                <c:pt idx="830">
                  <c:v>50.837102336704675</c:v>
                </c:pt>
                <c:pt idx="831">
                  <c:v>51.304854547314598</c:v>
                </c:pt>
                <c:pt idx="832">
                  <c:v>51.773120365815338</c:v>
                </c:pt>
                <c:pt idx="833">
                  <c:v>52.241868205167478</c:v>
                </c:pt>
                <c:pt idx="834">
                  <c:v>52.711066564972469</c:v>
                </c:pt>
                <c:pt idx="835">
                  <c:v>53.180684035229014</c:v>
                </c:pt>
                <c:pt idx="836">
                  <c:v>53.650689300066148</c:v>
                </c:pt>
                <c:pt idx="837">
                  <c:v>54.121051141453094</c:v>
                </c:pt>
                <c:pt idx="838">
                  <c:v>54.591738442884392</c:v>
                </c:pt>
                <c:pt idx="839">
                  <c:v>55.062720193039361</c:v>
                </c:pt>
                <c:pt idx="840">
                  <c:v>55.533965489415593</c:v>
                </c:pt>
                <c:pt idx="841">
                  <c:v>56.005443541935371</c:v>
                </c:pt>
                <c:pt idx="842">
                  <c:v>56.477123676523597</c:v>
                </c:pt>
                <c:pt idx="843">
                  <c:v>56.948975338657235</c:v>
                </c:pt>
                <c:pt idx="844">
                  <c:v>57.420968096885105</c:v>
                </c:pt>
                <c:pt idx="845">
                  <c:v>57.893071646316933</c:v>
                </c:pt>
                <c:pt idx="846">
                  <c:v>58.365255812081344</c:v>
                </c:pt>
                <c:pt idx="847">
                  <c:v>58.837490552751447</c:v>
                </c:pt>
                <c:pt idx="848">
                  <c:v>59.30974596373774</c:v>
                </c:pt>
                <c:pt idx="849">
                  <c:v>59.781992280647252</c:v>
                </c:pt>
                <c:pt idx="850">
                  <c:v>60.254199882608205</c:v>
                </c:pt>
                <c:pt idx="851">
                  <c:v>60.726339295559491</c:v>
                </c:pt>
                <c:pt idx="852">
                  <c:v>61.198381195504069</c:v>
                </c:pt>
                <c:pt idx="853">
                  <c:v>61.670296411725843</c:v>
                </c:pt>
                <c:pt idx="854">
                  <c:v>62.142055929969032</c:v>
                </c:pt>
                <c:pt idx="855">
                  <c:v>62.613630895579362</c:v>
                </c:pt>
                <c:pt idx="856">
                  <c:v>63.084992616606542</c:v>
                </c:pt>
                <c:pt idx="857">
                  <c:v>63.556112566867185</c:v>
                </c:pt>
                <c:pt idx="858">
                  <c:v>64.026962388967576</c:v>
                </c:pt>
                <c:pt idx="859">
                  <c:v>64.497513897285657</c:v>
                </c:pt>
                <c:pt idx="860">
                  <c:v>64.967739080911485</c:v>
                </c:pt>
                <c:pt idx="861">
                  <c:v>65.437610106545776</c:v>
                </c:pt>
                <c:pt idx="862">
                  <c:v>65.907099321355616</c:v>
                </c:pt>
                <c:pt idx="863">
                  <c:v>66.376179255786823</c:v>
                </c:pt>
                <c:pt idx="864">
                  <c:v>66.844822626332856</c:v>
                </c:pt>
                <c:pt idx="865">
                  <c:v>67.313002338258769</c:v>
                </c:pt>
                <c:pt idx="866">
                  <c:v>67.780691488280752</c:v>
                </c:pt>
                <c:pt idx="867">
                  <c:v>68.247863367199884</c:v>
                </c:pt>
                <c:pt idx="868">
                  <c:v>68.714491462489704</c:v>
                </c:pt>
                <c:pt idx="869">
                  <c:v>69.180549460838023</c:v>
                </c:pt>
                <c:pt idx="870">
                  <c:v>69.646011250640896</c:v>
                </c:pt>
                <c:pt idx="871">
                  <c:v>70.110850924449849</c:v>
                </c:pt>
                <c:pt idx="872">
                  <c:v>70.575042781370783</c:v>
                </c:pt>
                <c:pt idx="873">
                  <c:v>71.038561329414918</c:v>
                </c:pt>
                <c:pt idx="874">
                  <c:v>71.501381287800868</c:v>
                </c:pt>
                <c:pt idx="875">
                  <c:v>71.963477589207685</c:v>
                </c:pt>
                <c:pt idx="876">
                  <c:v>72.424825381978266</c:v>
                </c:pt>
                <c:pt idx="877">
                  <c:v>72.885400032273395</c:v>
                </c:pt>
                <c:pt idx="878">
                  <c:v>73.345177126174846</c:v>
                </c:pt>
                <c:pt idx="879">
                  <c:v>73.80413247173891</c:v>
                </c:pt>
                <c:pt idx="880">
                  <c:v>74.262242100998634</c:v>
                </c:pt>
                <c:pt idx="881">
                  <c:v>74.719482271914771</c:v>
                </c:pt>
                <c:pt idx="882">
                  <c:v>75.175829470276071</c:v>
                </c:pt>
                <c:pt idx="883">
                  <c:v>75.631260411547331</c:v>
                </c:pt>
                <c:pt idx="884">
                  <c:v>76.085752042666314</c:v>
                </c:pt>
                <c:pt idx="885">
                  <c:v>76.539281543787737</c:v>
                </c:pt>
                <c:pt idx="886">
                  <c:v>76.991826329976021</c:v>
                </c:pt>
                <c:pt idx="887">
                  <c:v>77.443364052845041</c:v>
                </c:pt>
                <c:pt idx="888">
                  <c:v>77.893872602145592</c:v>
                </c:pt>
                <c:pt idx="889">
                  <c:v>78.343330107299934</c:v>
                </c:pt>
                <c:pt idx="890">
                  <c:v>78.343777339210547</c:v>
                </c:pt>
                <c:pt idx="891">
                  <c:v>78.344224570051111</c:v>
                </c:pt>
                <c:pt idx="892">
                  <c:v>78.34467179982164</c:v>
                </c:pt>
                <c:pt idx="893">
                  <c:v>78.345119028522049</c:v>
                </c:pt>
                <c:pt idx="894">
                  <c:v>78.345566256152367</c:v>
                </c:pt>
                <c:pt idx="895">
                  <c:v>78.346013482712564</c:v>
                </c:pt>
                <c:pt idx="896">
                  <c:v>78.346460708202599</c:v>
                </c:pt>
                <c:pt idx="897">
                  <c:v>78.3469079326224</c:v>
                </c:pt>
                <c:pt idx="898">
                  <c:v>78.347355155972082</c:v>
                </c:pt>
                <c:pt idx="899">
                  <c:v>78.347802378251515</c:v>
                </c:pt>
                <c:pt idx="900">
                  <c:v>78.348249599460729</c:v>
                </c:pt>
                <c:pt idx="901">
                  <c:v>78.348696819599667</c:v>
                </c:pt>
                <c:pt idx="902">
                  <c:v>78.349144038668328</c:v>
                </c:pt>
                <c:pt idx="903">
                  <c:v>78.34959125666667</c:v>
                </c:pt>
                <c:pt idx="904">
                  <c:v>78.350038473594694</c:v>
                </c:pt>
                <c:pt idx="905">
                  <c:v>78.350485689452384</c:v>
                </c:pt>
                <c:pt idx="906">
                  <c:v>78.350932904239698</c:v>
                </c:pt>
                <c:pt idx="907">
                  <c:v>78.351380117956623</c:v>
                </c:pt>
                <c:pt idx="908">
                  <c:v>78.351827330603157</c:v>
                </c:pt>
                <c:pt idx="909">
                  <c:v>78.352274542179273</c:v>
                </c:pt>
                <c:pt idx="910">
                  <c:v>78.3527217526849</c:v>
                </c:pt>
                <c:pt idx="911">
                  <c:v>78.35316896212008</c:v>
                </c:pt>
                <c:pt idx="912">
                  <c:v>78.35361617048477</c:v>
                </c:pt>
                <c:pt idx="913">
                  <c:v>78.354063377778928</c:v>
                </c:pt>
                <c:pt idx="914">
                  <c:v>78.35451058400254</c:v>
                </c:pt>
                <c:pt idx="915">
                  <c:v>78.354957789155605</c:v>
                </c:pt>
                <c:pt idx="916">
                  <c:v>78.355404993238125</c:v>
                </c:pt>
                <c:pt idx="917">
                  <c:v>78.355852196250041</c:v>
                </c:pt>
                <c:pt idx="918">
                  <c:v>78.356299398191297</c:v>
                </c:pt>
                <c:pt idx="919">
                  <c:v>78.356746599061964</c:v>
                </c:pt>
                <c:pt idx="920">
                  <c:v>78.357193798861928</c:v>
                </c:pt>
                <c:pt idx="921">
                  <c:v>78.357640997591218</c:v>
                </c:pt>
                <c:pt idx="922">
                  <c:v>78.35808819524982</c:v>
                </c:pt>
                <c:pt idx="923">
                  <c:v>78.358535391837677</c:v>
                </c:pt>
                <c:pt idx="924">
                  <c:v>78.35898258735476</c:v>
                </c:pt>
                <c:pt idx="925">
                  <c:v>78.359429781801111</c:v>
                </c:pt>
                <c:pt idx="926">
                  <c:v>78.359876975176647</c:v>
                </c:pt>
                <c:pt idx="927">
                  <c:v>78.360324167481409</c:v>
                </c:pt>
                <c:pt idx="928">
                  <c:v>78.360771358715311</c:v>
                </c:pt>
                <c:pt idx="929">
                  <c:v>78.361218548878369</c:v>
                </c:pt>
                <c:pt idx="930">
                  <c:v>78.361665737970512</c:v>
                </c:pt>
                <c:pt idx="931">
                  <c:v>78.362112925991795</c:v>
                </c:pt>
                <c:pt idx="932">
                  <c:v>78.362560112942191</c:v>
                </c:pt>
                <c:pt idx="933">
                  <c:v>78.3630072988216</c:v>
                </c:pt>
                <c:pt idx="934">
                  <c:v>78.363454483630036</c:v>
                </c:pt>
                <c:pt idx="935">
                  <c:v>78.363901667367543</c:v>
                </c:pt>
                <c:pt idx="936">
                  <c:v>78.364348850034006</c:v>
                </c:pt>
                <c:pt idx="937">
                  <c:v>78.364796031629453</c:v>
                </c:pt>
                <c:pt idx="938">
                  <c:v>78.365243212153899</c:v>
                </c:pt>
                <c:pt idx="939">
                  <c:v>78.365690391607203</c:v>
                </c:pt>
                <c:pt idx="940">
                  <c:v>78.36613756998949</c:v>
                </c:pt>
                <c:pt idx="941">
                  <c:v>78.366584747300664</c:v>
                </c:pt>
                <c:pt idx="942">
                  <c:v>78.367031923540694</c:v>
                </c:pt>
                <c:pt idx="943">
                  <c:v>78.367479098709552</c:v>
                </c:pt>
                <c:pt idx="944">
                  <c:v>78.367926272807267</c:v>
                </c:pt>
                <c:pt idx="945">
                  <c:v>78.368373445833782</c:v>
                </c:pt>
                <c:pt idx="946">
                  <c:v>78.368820617789083</c:v>
                </c:pt>
                <c:pt idx="947">
                  <c:v>78.369267788673142</c:v>
                </c:pt>
                <c:pt idx="948">
                  <c:v>78.369714958485886</c:v>
                </c:pt>
                <c:pt idx="949">
                  <c:v>78.370162127227445</c:v>
                </c:pt>
                <c:pt idx="950">
                  <c:v>78.370609294897676</c:v>
                </c:pt>
                <c:pt idx="951">
                  <c:v>78.371056461496551</c:v>
                </c:pt>
                <c:pt idx="952">
                  <c:v>78.371503627024111</c:v>
                </c:pt>
                <c:pt idx="953">
                  <c:v>78.37195079148033</c:v>
                </c:pt>
                <c:pt idx="954">
                  <c:v>78.372397954865136</c:v>
                </c:pt>
                <c:pt idx="955">
                  <c:v>78.372845117178514</c:v>
                </c:pt>
                <c:pt idx="956">
                  <c:v>78.373292278420521</c:v>
                </c:pt>
                <c:pt idx="957">
                  <c:v>78.373739438591031</c:v>
                </c:pt>
                <c:pt idx="958">
                  <c:v>78.374186597690127</c:v>
                </c:pt>
                <c:pt idx="959">
                  <c:v>78.374633755717667</c:v>
                </c:pt>
                <c:pt idx="960">
                  <c:v>78.375080912673752</c:v>
                </c:pt>
                <c:pt idx="961">
                  <c:v>78.375528068558253</c:v>
                </c:pt>
                <c:pt idx="962">
                  <c:v>78.37597522337127</c:v>
                </c:pt>
                <c:pt idx="963">
                  <c:v>78.376422377112689</c:v>
                </c:pt>
                <c:pt idx="964">
                  <c:v>78.376869529782454</c:v>
                </c:pt>
                <c:pt idx="965">
                  <c:v>78.377316681380634</c:v>
                </c:pt>
                <c:pt idx="966">
                  <c:v>78.377763831907203</c:v>
                </c:pt>
                <c:pt idx="967">
                  <c:v>78.378210981362059</c:v>
                </c:pt>
                <c:pt idx="968">
                  <c:v>78.378658129745261</c:v>
                </c:pt>
                <c:pt idx="969">
                  <c:v>78.37910527705678</c:v>
                </c:pt>
                <c:pt idx="970">
                  <c:v>78.379552423296545</c:v>
                </c:pt>
                <c:pt idx="971">
                  <c:v>78.379999568464598</c:v>
                </c:pt>
                <c:pt idx="972">
                  <c:v>78.38044671256084</c:v>
                </c:pt>
                <c:pt idx="973">
                  <c:v>78.380893855585342</c:v>
                </c:pt>
                <c:pt idx="974">
                  <c:v>78.381340997538032</c:v>
                </c:pt>
                <c:pt idx="975">
                  <c:v>78.381788138418855</c:v>
                </c:pt>
                <c:pt idx="976">
                  <c:v>78.382235278227839</c:v>
                </c:pt>
                <c:pt idx="977">
                  <c:v>78.382682416964968</c:v>
                </c:pt>
                <c:pt idx="978">
                  <c:v>78.383129554630216</c:v>
                </c:pt>
                <c:pt idx="979">
                  <c:v>78.38357669122351</c:v>
                </c:pt>
                <c:pt idx="980">
                  <c:v>78.384023826744865</c:v>
                </c:pt>
                <c:pt idx="981">
                  <c:v>78.38447096119431</c:v>
                </c:pt>
                <c:pt idx="982">
                  <c:v>78.384918094571745</c:v>
                </c:pt>
                <c:pt idx="983">
                  <c:v>78.38536522687717</c:v>
                </c:pt>
                <c:pt idx="984">
                  <c:v>78.385812358110599</c:v>
                </c:pt>
                <c:pt idx="985">
                  <c:v>78.386259488271975</c:v>
                </c:pt>
                <c:pt idx="986">
                  <c:v>78.386706617361298</c:v>
                </c:pt>
                <c:pt idx="987">
                  <c:v>78.387153745378555</c:v>
                </c:pt>
                <c:pt idx="988">
                  <c:v>78.387600872323645</c:v>
                </c:pt>
                <c:pt idx="989">
                  <c:v>78.388047998196654</c:v>
                </c:pt>
                <c:pt idx="990">
                  <c:v>78.388495122997497</c:v>
                </c:pt>
                <c:pt idx="991">
                  <c:v>78.388942246726216</c:v>
                </c:pt>
                <c:pt idx="992">
                  <c:v>78.389389369382741</c:v>
                </c:pt>
                <c:pt idx="993">
                  <c:v>78.389836490967014</c:v>
                </c:pt>
                <c:pt idx="994">
                  <c:v>78.390283611479063</c:v>
                </c:pt>
                <c:pt idx="995">
                  <c:v>78.390730730918875</c:v>
                </c:pt>
                <c:pt idx="996">
                  <c:v>78.391177849286379</c:v>
                </c:pt>
                <c:pt idx="997">
                  <c:v>78.391624966581631</c:v>
                </c:pt>
                <c:pt idx="998">
                  <c:v>78.392072082804518</c:v>
                </c:pt>
                <c:pt idx="999">
                  <c:v>78.392519197955082</c:v>
                </c:pt>
                <c:pt idx="1000">
                  <c:v>78.392966312033309</c:v>
                </c:pt>
              </c:numCache>
            </c:numRef>
          </c:yVal>
          <c:smooth val="0"/>
          <c:extLst>
            <c:ext xmlns:c16="http://schemas.microsoft.com/office/drawing/2014/chart" uri="{C3380CC4-5D6E-409C-BE32-E72D297353CC}">
              <c16:uniqueId val="{00000002-5334-48F2-9051-C40E5F5CB63F}"/>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43.900100000000293</c:v>
                </c:pt>
                <c:pt idx="891">
                  <c:v>43.900200000000297</c:v>
                </c:pt>
                <c:pt idx="892">
                  <c:v>43.9003000000003</c:v>
                </c:pt>
                <c:pt idx="893">
                  <c:v>43.900400000000303</c:v>
                </c:pt>
                <c:pt idx="894">
                  <c:v>43.900500000000306</c:v>
                </c:pt>
                <c:pt idx="895">
                  <c:v>43.90060000000031</c:v>
                </c:pt>
                <c:pt idx="896">
                  <c:v>43.900700000000313</c:v>
                </c:pt>
                <c:pt idx="897">
                  <c:v>43.900800000000316</c:v>
                </c:pt>
                <c:pt idx="898">
                  <c:v>43.90090000000032</c:v>
                </c:pt>
                <c:pt idx="899">
                  <c:v>43.901000000000323</c:v>
                </c:pt>
                <c:pt idx="900">
                  <c:v>43.901100000000326</c:v>
                </c:pt>
                <c:pt idx="901">
                  <c:v>43.90120000000033</c:v>
                </c:pt>
                <c:pt idx="902">
                  <c:v>43.901300000000333</c:v>
                </c:pt>
                <c:pt idx="903">
                  <c:v>43.901400000000336</c:v>
                </c:pt>
                <c:pt idx="904">
                  <c:v>43.90150000000034</c:v>
                </c:pt>
                <c:pt idx="905">
                  <c:v>43.901600000000343</c:v>
                </c:pt>
                <c:pt idx="906">
                  <c:v>43.901700000000346</c:v>
                </c:pt>
                <c:pt idx="907">
                  <c:v>43.90180000000035</c:v>
                </c:pt>
                <c:pt idx="908">
                  <c:v>43.901900000000353</c:v>
                </c:pt>
                <c:pt idx="909">
                  <c:v>43.902000000000356</c:v>
                </c:pt>
                <c:pt idx="910">
                  <c:v>43.90210000000036</c:v>
                </c:pt>
                <c:pt idx="911">
                  <c:v>43.902200000000363</c:v>
                </c:pt>
                <c:pt idx="912">
                  <c:v>43.902300000000366</c:v>
                </c:pt>
                <c:pt idx="913">
                  <c:v>43.90240000000037</c:v>
                </c:pt>
                <c:pt idx="914">
                  <c:v>43.902500000000373</c:v>
                </c:pt>
                <c:pt idx="915">
                  <c:v>43.902600000000376</c:v>
                </c:pt>
                <c:pt idx="916">
                  <c:v>43.90270000000038</c:v>
                </c:pt>
                <c:pt idx="917">
                  <c:v>43.902800000000383</c:v>
                </c:pt>
                <c:pt idx="918">
                  <c:v>43.902900000000386</c:v>
                </c:pt>
                <c:pt idx="919">
                  <c:v>43.903000000000389</c:v>
                </c:pt>
                <c:pt idx="920">
                  <c:v>43.903100000000393</c:v>
                </c:pt>
                <c:pt idx="921">
                  <c:v>43.903200000000396</c:v>
                </c:pt>
                <c:pt idx="922">
                  <c:v>43.903300000000399</c:v>
                </c:pt>
                <c:pt idx="923">
                  <c:v>43.903400000000403</c:v>
                </c:pt>
                <c:pt idx="924">
                  <c:v>43.903500000000406</c:v>
                </c:pt>
                <c:pt idx="925">
                  <c:v>43.903600000000409</c:v>
                </c:pt>
                <c:pt idx="926">
                  <c:v>43.903700000000413</c:v>
                </c:pt>
                <c:pt idx="927">
                  <c:v>43.903800000000416</c:v>
                </c:pt>
                <c:pt idx="928">
                  <c:v>43.903900000000419</c:v>
                </c:pt>
                <c:pt idx="929">
                  <c:v>43.904000000000423</c:v>
                </c:pt>
                <c:pt idx="930">
                  <c:v>43.904100000000426</c:v>
                </c:pt>
                <c:pt idx="931">
                  <c:v>43.904200000000429</c:v>
                </c:pt>
                <c:pt idx="932">
                  <c:v>43.904300000000433</c:v>
                </c:pt>
                <c:pt idx="933">
                  <c:v>43.904400000000436</c:v>
                </c:pt>
                <c:pt idx="934">
                  <c:v>43.904500000000439</c:v>
                </c:pt>
                <c:pt idx="935">
                  <c:v>43.904600000000443</c:v>
                </c:pt>
                <c:pt idx="936">
                  <c:v>43.904700000000446</c:v>
                </c:pt>
                <c:pt idx="937">
                  <c:v>43.904800000000449</c:v>
                </c:pt>
                <c:pt idx="938">
                  <c:v>43.904900000000453</c:v>
                </c:pt>
                <c:pt idx="939">
                  <c:v>43.905000000000456</c:v>
                </c:pt>
                <c:pt idx="940">
                  <c:v>43.905100000000459</c:v>
                </c:pt>
                <c:pt idx="941">
                  <c:v>43.905200000000463</c:v>
                </c:pt>
                <c:pt idx="942">
                  <c:v>43.905300000000466</c:v>
                </c:pt>
                <c:pt idx="943">
                  <c:v>43.905400000000469</c:v>
                </c:pt>
                <c:pt idx="944">
                  <c:v>43.905500000000472</c:v>
                </c:pt>
                <c:pt idx="945">
                  <c:v>43.905600000000476</c:v>
                </c:pt>
                <c:pt idx="946">
                  <c:v>43.905700000000479</c:v>
                </c:pt>
                <c:pt idx="947">
                  <c:v>43.905800000000482</c:v>
                </c:pt>
                <c:pt idx="948">
                  <c:v>43.905900000000486</c:v>
                </c:pt>
                <c:pt idx="949">
                  <c:v>43.906000000000489</c:v>
                </c:pt>
                <c:pt idx="950">
                  <c:v>43.906100000000492</c:v>
                </c:pt>
                <c:pt idx="951">
                  <c:v>43.906200000000496</c:v>
                </c:pt>
                <c:pt idx="952">
                  <c:v>43.906300000000499</c:v>
                </c:pt>
                <c:pt idx="953">
                  <c:v>43.906400000000502</c:v>
                </c:pt>
                <c:pt idx="954">
                  <c:v>43.906500000000506</c:v>
                </c:pt>
                <c:pt idx="955">
                  <c:v>43.906600000000509</c:v>
                </c:pt>
                <c:pt idx="956">
                  <c:v>43.906700000000512</c:v>
                </c:pt>
                <c:pt idx="957">
                  <c:v>43.906800000000516</c:v>
                </c:pt>
                <c:pt idx="958">
                  <c:v>43.906900000000519</c:v>
                </c:pt>
                <c:pt idx="959">
                  <c:v>43.907000000000522</c:v>
                </c:pt>
                <c:pt idx="960">
                  <c:v>43.907100000000526</c:v>
                </c:pt>
                <c:pt idx="961">
                  <c:v>43.907200000000529</c:v>
                </c:pt>
                <c:pt idx="962">
                  <c:v>43.907300000000532</c:v>
                </c:pt>
                <c:pt idx="963">
                  <c:v>43.907400000000536</c:v>
                </c:pt>
                <c:pt idx="964">
                  <c:v>43.907500000000539</c:v>
                </c:pt>
                <c:pt idx="965">
                  <c:v>43.907600000000542</c:v>
                </c:pt>
                <c:pt idx="966">
                  <c:v>43.907700000000546</c:v>
                </c:pt>
                <c:pt idx="967">
                  <c:v>43.907800000000549</c:v>
                </c:pt>
                <c:pt idx="968">
                  <c:v>43.907900000000552</c:v>
                </c:pt>
                <c:pt idx="969">
                  <c:v>43.908000000000555</c:v>
                </c:pt>
                <c:pt idx="970">
                  <c:v>43.908100000000559</c:v>
                </c:pt>
                <c:pt idx="971">
                  <c:v>43.908200000000562</c:v>
                </c:pt>
                <c:pt idx="972">
                  <c:v>43.908300000000565</c:v>
                </c:pt>
                <c:pt idx="973">
                  <c:v>43.908400000000569</c:v>
                </c:pt>
                <c:pt idx="974">
                  <c:v>43.908500000000572</c:v>
                </c:pt>
                <c:pt idx="975">
                  <c:v>43.908600000000575</c:v>
                </c:pt>
                <c:pt idx="976">
                  <c:v>43.908700000000579</c:v>
                </c:pt>
                <c:pt idx="977">
                  <c:v>43.908800000000582</c:v>
                </c:pt>
                <c:pt idx="978">
                  <c:v>43.908900000000585</c:v>
                </c:pt>
                <c:pt idx="979">
                  <c:v>43.909000000000589</c:v>
                </c:pt>
                <c:pt idx="980">
                  <c:v>43.909100000000592</c:v>
                </c:pt>
                <c:pt idx="981">
                  <c:v>43.909200000000595</c:v>
                </c:pt>
                <c:pt idx="982">
                  <c:v>43.909300000000599</c:v>
                </c:pt>
                <c:pt idx="983">
                  <c:v>43.909400000000602</c:v>
                </c:pt>
                <c:pt idx="984">
                  <c:v>43.909500000000605</c:v>
                </c:pt>
                <c:pt idx="985">
                  <c:v>43.909600000000609</c:v>
                </c:pt>
                <c:pt idx="986">
                  <c:v>43.909700000000612</c:v>
                </c:pt>
                <c:pt idx="987">
                  <c:v>43.909800000000615</c:v>
                </c:pt>
                <c:pt idx="988">
                  <c:v>43.909900000000619</c:v>
                </c:pt>
                <c:pt idx="989">
                  <c:v>43.910000000000622</c:v>
                </c:pt>
                <c:pt idx="990">
                  <c:v>43.910100000000625</c:v>
                </c:pt>
                <c:pt idx="991">
                  <c:v>43.910200000000629</c:v>
                </c:pt>
                <c:pt idx="992">
                  <c:v>43.910300000000632</c:v>
                </c:pt>
                <c:pt idx="993">
                  <c:v>43.910400000000635</c:v>
                </c:pt>
                <c:pt idx="994">
                  <c:v>43.910500000000638</c:v>
                </c:pt>
                <c:pt idx="995">
                  <c:v>43.910600000000642</c:v>
                </c:pt>
                <c:pt idx="996">
                  <c:v>43.910700000000645</c:v>
                </c:pt>
                <c:pt idx="997">
                  <c:v>43.910800000000648</c:v>
                </c:pt>
                <c:pt idx="998">
                  <c:v>43.910900000000652</c:v>
                </c:pt>
                <c:pt idx="999">
                  <c:v>43.911000000000655</c:v>
                </c:pt>
                <c:pt idx="1000">
                  <c:v>43.911100000000658</c:v>
                </c:pt>
              </c:numCache>
            </c:numRef>
          </c:xVal>
          <c:yVal>
            <c:numRef>
              <c:f>Calculs!$I$4:$I$1004</c:f>
              <c:numCache>
                <c:formatCode>0.00</c:formatCode>
                <c:ptCount val="1001"/>
                <c:pt idx="0">
                  <c:v>0</c:v>
                </c:pt>
                <c:pt idx="1">
                  <c:v>5.3720239723567896E-2</c:v>
                </c:pt>
                <c:pt idx="2">
                  <c:v>0.27328674822504867</c:v>
                </c:pt>
                <c:pt idx="3">
                  <c:v>0.56168092246160317</c:v>
                </c:pt>
                <c:pt idx="4">
                  <c:v>0.91894462252633213</c:v>
                </c:pt>
                <c:pt idx="5">
                  <c:v>1.3451266240985191</c:v>
                </c:pt>
                <c:pt idx="6">
                  <c:v>1.8402825792523945</c:v>
                </c:pt>
                <c:pt idx="7">
                  <c:v>2.4044749794092581</c:v>
                </c:pt>
                <c:pt idx="8">
                  <c:v>3.037773120388942</c:v>
                </c:pt>
                <c:pt idx="9">
                  <c:v>3.7402530695197678</c:v>
                </c:pt>
                <c:pt idx="10">
                  <c:v>4.5119976347678659</c:v>
                </c:pt>
                <c:pt idx="11">
                  <c:v>5.3135068607311515</c:v>
                </c:pt>
                <c:pt idx="12">
                  <c:v>6.105211348386745</c:v>
                </c:pt>
                <c:pt idx="13">
                  <c:v>6.8867941750284016</c:v>
                </c:pt>
                <c:pt idx="14">
                  <c:v>7.6579381284496506</c:v>
                </c:pt>
                <c:pt idx="15">
                  <c:v>8.4186273988141078</c:v>
                </c:pt>
                <c:pt idx="16">
                  <c:v>9.1688464214579124</c:v>
                </c:pt>
                <c:pt idx="17">
                  <c:v>9.908579876709954</c:v>
                </c:pt>
                <c:pt idx="18">
                  <c:v>10.637812689687479</c:v>
                </c:pt>
                <c:pt idx="19">
                  <c:v>11.356530030067221</c:v>
                </c:pt>
                <c:pt idx="20">
                  <c:v>12.064717311832187</c:v>
                </c:pt>
                <c:pt idx="21">
                  <c:v>12.76236019299424</c:v>
                </c:pt>
                <c:pt idx="22">
                  <c:v>13.449444575292631</c:v>
                </c:pt>
                <c:pt idx="23">
                  <c:v>14.125956603868609</c:v>
                </c:pt>
                <c:pt idx="24">
                  <c:v>14.791882666916274</c:v>
                </c:pt>
                <c:pt idx="25">
                  <c:v>15.447209395309836</c:v>
                </c:pt>
                <c:pt idx="26">
                  <c:v>16.09192366220741</c:v>
                </c:pt>
                <c:pt idx="27">
                  <c:v>16.731325059970882</c:v>
                </c:pt>
                <c:pt idx="28">
                  <c:v>17.370720782504186</c:v>
                </c:pt>
                <c:pt idx="29">
                  <c:v>18.010109122966355</c:v>
                </c:pt>
                <c:pt idx="30">
                  <c:v>18.649488372956704</c:v>
                </c:pt>
                <c:pt idx="31">
                  <c:v>19.28885682253723</c:v>
                </c:pt>
                <c:pt idx="32">
                  <c:v>19.928212760255096</c:v>
                </c:pt>
                <c:pt idx="33">
                  <c:v>20.56755447316511</c:v>
                </c:pt>
                <c:pt idx="34">
                  <c:v>21.206880246852318</c:v>
                </c:pt>
                <c:pt idx="35">
                  <c:v>21.846188365454619</c:v>
                </c:pt>
                <c:pt idx="36">
                  <c:v>22.485477111685444</c:v>
                </c:pt>
                <c:pt idx="37">
                  <c:v>23.124744766856494</c:v>
                </c:pt>
                <c:pt idx="38">
                  <c:v>23.763995553057352</c:v>
                </c:pt>
                <c:pt idx="39">
                  <c:v>24.403233929409517</c:v>
                </c:pt>
                <c:pt idx="40">
                  <c:v>25.042457952672297</c:v>
                </c:pt>
                <c:pt idx="41">
                  <c:v>25.681665687658079</c:v>
                </c:pt>
                <c:pt idx="42">
                  <c:v>26.320855206597738</c:v>
                </c:pt>
                <c:pt idx="43">
                  <c:v>26.960024588596102</c:v>
                </c:pt>
                <c:pt idx="44">
                  <c:v>27.599171919136801</c:v>
                </c:pt>
                <c:pt idx="45">
                  <c:v>28.238295289631115</c:v>
                </c:pt>
                <c:pt idx="46">
                  <c:v>28.877392797006255</c:v>
                </c:pt>
                <c:pt idx="47">
                  <c:v>29.516462543328938</c:v>
                </c:pt>
                <c:pt idx="48">
                  <c:v>30.155502635460792</c:v>
                </c:pt>
                <c:pt idx="49">
                  <c:v>30.794511184742355</c:v>
                </c:pt>
                <c:pt idx="50">
                  <c:v>31.43348630670301</c:v>
                </c:pt>
                <c:pt idx="51">
                  <c:v>32.072426120794319</c:v>
                </c:pt>
                <c:pt idx="52">
                  <c:v>32.711328750144581</c:v>
                </c:pt>
                <c:pt idx="53">
                  <c:v>33.350192321332827</c:v>
                </c:pt>
                <c:pt idx="54">
                  <c:v>33.989014964180299</c:v>
                </c:pt>
                <c:pt idx="55">
                  <c:v>34.627794811558054</c:v>
                </c:pt>
                <c:pt idx="56">
                  <c:v>35.266529999209233</c:v>
                </c:pt>
                <c:pt idx="57">
                  <c:v>35.905218665584805</c:v>
                </c:pt>
                <c:pt idx="58">
                  <c:v>36.543858951691611</c:v>
                </c:pt>
                <c:pt idx="59">
                  <c:v>37.182449000951706</c:v>
                </c:pt>
                <c:pt idx="60">
                  <c:v>37.820986959072229</c:v>
                </c:pt>
                <c:pt idx="61">
                  <c:v>38.459470973924766</c:v>
                </c:pt>
                <c:pt idx="62">
                  <c:v>39.097899195433612</c:v>
                </c:pt>
                <c:pt idx="63">
                  <c:v>39.736269775472266</c:v>
                </c:pt>
                <c:pt idx="64">
                  <c:v>40.374580867767399</c:v>
                </c:pt>
                <c:pt idx="65">
                  <c:v>41.01283062780994</c:v>
                </c:pt>
                <c:pt idx="66">
                  <c:v>41.651017212772629</c:v>
                </c:pt>
                <c:pt idx="67">
                  <c:v>42.289138781433586</c:v>
                </c:pt>
                <c:pt idx="68">
                  <c:v>42.927193494105545</c:v>
                </c:pt>
                <c:pt idx="69">
                  <c:v>43.565179512570282</c:v>
                </c:pt>
                <c:pt idx="70">
                  <c:v>44.203095000017946</c:v>
                </c:pt>
                <c:pt idx="71">
                  <c:v>44.84093812099092</c:v>
                </c:pt>
                <c:pt idx="72">
                  <c:v>45.478646488968643</c:v>
                </c:pt>
                <c:pt idx="73">
                  <c:v>46.116157640352853</c:v>
                </c:pt>
                <c:pt idx="74">
                  <c:v>46.753469632156644</c:v>
                </c:pt>
                <c:pt idx="75">
                  <c:v>47.390580523485717</c:v>
                </c:pt>
                <c:pt idx="76">
                  <c:v>48.027488375502159</c:v>
                </c:pt>
                <c:pt idx="77">
                  <c:v>48.664191251391195</c:v>
                </c:pt>
                <c:pt idx="78">
                  <c:v>49.300687216330971</c:v>
                </c:pt>
                <c:pt idx="79">
                  <c:v>49.936974337464939</c:v>
                </c:pt>
                <c:pt idx="80">
                  <c:v>50.573050683876943</c:v>
                </c:pt>
                <c:pt idx="81">
                  <c:v>51.20891432656866</c:v>
                </c:pt>
                <c:pt idx="82">
                  <c:v>51.844563338439308</c:v>
                </c:pt>
                <c:pt idx="83">
                  <c:v>52.479995794267502</c:v>
                </c:pt>
                <c:pt idx="84">
                  <c:v>53.115209770695181</c:v>
                </c:pt>
                <c:pt idx="85">
                  <c:v>53.750203346213311</c:v>
                </c:pt>
                <c:pt idx="86">
                  <c:v>54.384974601149509</c:v>
                </c:pt>
                <c:pt idx="87">
                  <c:v>55.019521617657318</c:v>
                </c:pt>
                <c:pt idx="88">
                  <c:v>55.653842479707052</c:v>
                </c:pt>
                <c:pt idx="89">
                  <c:v>56.287935273078176</c:v>
                </c:pt>
                <c:pt idx="90">
                  <c:v>56.921798085353132</c:v>
                </c:pt>
                <c:pt idx="91">
                  <c:v>57.555429005912487</c:v>
                </c:pt>
                <c:pt idx="92">
                  <c:v>58.188826125931385</c:v>
                </c:pt>
                <c:pt idx="93">
                  <c:v>58.821987538377201</c:v>
                </c:pt>
                <c:pt idx="94">
                  <c:v>59.454911338008351</c:v>
                </c:pt>
                <c:pt idx="95">
                  <c:v>60.087595621374199</c:v>
                </c:pt>
                <c:pt idx="96">
                  <c:v>60.720038486815945</c:v>
                </c:pt>
                <c:pt idx="97">
                  <c:v>61.35223803446862</c:v>
                </c:pt>
                <c:pt idx="98">
                  <c:v>61.984192366263812</c:v>
                </c:pt>
                <c:pt idx="99">
                  <c:v>62.615899585933533</c:v>
                </c:pt>
                <c:pt idx="100">
                  <c:v>63.247357799014679</c:v>
                </c:pt>
                <c:pt idx="101">
                  <c:v>63.878565112854453</c:v>
                </c:pt>
                <c:pt idx="102">
                  <c:v>64.50951963661646</c:v>
                </c:pt>
                <c:pt idx="103">
                  <c:v>65.140219481287616</c:v>
                </c:pt>
                <c:pt idx="104">
                  <c:v>65.770662759685578</c:v>
                </c:pt>
                <c:pt idx="105">
                  <c:v>66.400847586467108</c:v>
                </c:pt>
                <c:pt idx="106">
                  <c:v>67.030772078136678</c:v>
                </c:pt>
                <c:pt idx="107">
                  <c:v>67.660434353056033</c:v>
                </c:pt>
                <c:pt idx="108">
                  <c:v>68.289832531454138</c:v>
                </c:pt>
                <c:pt idx="109">
                  <c:v>68.918964735437612</c:v>
                </c:pt>
                <c:pt idx="110">
                  <c:v>69.547829089001837</c:v>
                </c:pt>
                <c:pt idx="111">
                  <c:v>70.176423718042429</c:v>
                </c:pt>
                <c:pt idx="112">
                  <c:v>70.804746750367215</c:v>
                </c:pt>
                <c:pt idx="113">
                  <c:v>71.432796315708643</c:v>
                </c:pt>
                <c:pt idx="114">
                  <c:v>72.060570545736653</c:v>
                </c:pt>
                <c:pt idx="115">
                  <c:v>72.688067574071923</c:v>
                </c:pt>
                <c:pt idx="116">
                  <c:v>73.315285536299442</c:v>
                </c:pt>
                <c:pt idx="117">
                  <c:v>73.942222569982562</c:v>
                </c:pt>
                <c:pt idx="118">
                  <c:v>74.568876814677338</c:v>
                </c:pt>
                <c:pt idx="119">
                  <c:v>75.195246411947224</c:v>
                </c:pt>
                <c:pt idx="120">
                  <c:v>75.821329505377989</c:v>
                </c:pt>
                <c:pt idx="121">
                  <c:v>76.447124240593126</c:v>
                </c:pt>
                <c:pt idx="122">
                  <c:v>77.072628765269343</c:v>
                </c:pt>
                <c:pt idx="123">
                  <c:v>77.697841229152502</c:v>
                </c:pt>
                <c:pt idx="124">
                  <c:v>78.322759784073682</c:v>
                </c:pt>
                <c:pt idx="125">
                  <c:v>78.947382583965648</c:v>
                </c:pt>
                <c:pt idx="126">
                  <c:v>79.571707784879337</c:v>
                </c:pt>
                <c:pt idx="127">
                  <c:v>80.195733545000806</c:v>
                </c:pt>
                <c:pt idx="128">
                  <c:v>80.819458024668279</c:v>
                </c:pt>
                <c:pt idx="129">
                  <c:v>81.442601088601478</c:v>
                </c:pt>
                <c:pt idx="130">
                  <c:v>82.064882290222371</c:v>
                </c:pt>
                <c:pt idx="131">
                  <c:v>82.686299376756494</c:v>
                </c:pt>
                <c:pt idx="132">
                  <c:v>83.306850102600336</c:v>
                </c:pt>
                <c:pt idx="133">
                  <c:v>83.926532229341532</c:v>
                </c:pt>
                <c:pt idx="134">
                  <c:v>84.545343525779074</c:v>
                </c:pt>
                <c:pt idx="135">
                  <c:v>85.163281767943559</c:v>
                </c:pt>
                <c:pt idx="136">
                  <c:v>85.780344739117481</c:v>
                </c:pt>
                <c:pt idx="137">
                  <c:v>86.396530229855472</c:v>
                </c:pt>
                <c:pt idx="138">
                  <c:v>87.011836038004589</c:v>
                </c:pt>
                <c:pt idx="139">
                  <c:v>87.62625996872454</c:v>
                </c:pt>
                <c:pt idx="140">
                  <c:v>88.239799834507977</c:v>
                </c:pt>
                <c:pt idx="141">
                  <c:v>88.852453455200603</c:v>
                </c:pt>
                <c:pt idx="142">
                  <c:v>89.464218658021423</c:v>
                </c:pt>
                <c:pt idx="143">
                  <c:v>90.075093277582795</c:v>
                </c:pt>
                <c:pt idx="144">
                  <c:v>90.685075155910567</c:v>
                </c:pt>
                <c:pt idx="145">
                  <c:v>91.294162142464003</c:v>
                </c:pt>
                <c:pt idx="146">
                  <c:v>91.902352094155802</c:v>
                </c:pt>
                <c:pt idx="147">
                  <c:v>92.509642875371966</c:v>
                </c:pt>
                <c:pt idx="148">
                  <c:v>93.116032357991529</c:v>
                </c:pt>
                <c:pt idx="149">
                  <c:v>93.721518421406358</c:v>
                </c:pt>
                <c:pt idx="150">
                  <c:v>94.326098952540747</c:v>
                </c:pt>
                <c:pt idx="151">
                  <c:v>94.929771845870945</c:v>
                </c:pt>
                <c:pt idx="152">
                  <c:v>95.532535003444607</c:v>
                </c:pt>
                <c:pt idx="153">
                  <c:v>96.134386334900114</c:v>
                </c:pt>
                <c:pt idx="154">
                  <c:v>96.73532375748583</c:v>
                </c:pt>
                <c:pt idx="155">
                  <c:v>97.335345196079189</c:v>
                </c:pt>
                <c:pt idx="156">
                  <c:v>97.934448583205679</c:v>
                </c:pt>
                <c:pt idx="157">
                  <c:v>98.532631859057787</c:v>
                </c:pt>
                <c:pt idx="158">
                  <c:v>99.129892971513655</c:v>
                </c:pt>
                <c:pt idx="159">
                  <c:v>99.726229876155784</c:v>
                </c:pt>
                <c:pt idx="160">
                  <c:v>100.32164053628951</c:v>
                </c:pt>
                <c:pt idx="161">
                  <c:v>100.91612292296131</c:v>
                </c:pt>
                <c:pt idx="162">
                  <c:v>101.50967501497708</c:v>
                </c:pt>
                <c:pt idx="163">
                  <c:v>102.10229479892017</c:v>
                </c:pt>
                <c:pt idx="164">
                  <c:v>102.69398026916932</c:v>
                </c:pt>
                <c:pt idx="165">
                  <c:v>103.28472942791647</c:v>
                </c:pt>
                <c:pt idx="166">
                  <c:v>103.87454028518431</c:v>
                </c:pt>
                <c:pt idx="167">
                  <c:v>104.46341085884383</c:v>
                </c:pt>
                <c:pt idx="168">
                  <c:v>105.05133917463159</c:v>
                </c:pt>
                <c:pt idx="169">
                  <c:v>105.63832326616686</c:v>
                </c:pt>
                <c:pt idx="170">
                  <c:v>106.22436117496862</c:v>
                </c:pt>
                <c:pt idx="171">
                  <c:v>106.80945095047242</c:v>
                </c:pt>
                <c:pt idx="172">
                  <c:v>107.393590650047</c:v>
                </c:pt>
                <c:pt idx="173">
                  <c:v>107.97677833901069</c:v>
                </c:pt>
                <c:pt idx="174">
                  <c:v>108.55901209064791</c:v>
                </c:pt>
                <c:pt idx="175">
                  <c:v>109.14028998622516</c:v>
                </c:pt>
                <c:pt idx="176">
                  <c:v>109.72061011500698</c:v>
                </c:pt>
                <c:pt idx="177">
                  <c:v>110.29997057427182</c:v>
                </c:pt>
                <c:pt idx="178">
                  <c:v>110.87836946932754</c:v>
                </c:pt>
                <c:pt idx="179">
                  <c:v>111.45580491352689</c:v>
                </c:pt>
                <c:pt idx="180">
                  <c:v>112.03227502828271</c:v>
                </c:pt>
                <c:pt idx="181">
                  <c:v>112.60777794308297</c:v>
                </c:pt>
                <c:pt idx="182">
                  <c:v>113.18231179550561</c:v>
                </c:pt>
                <c:pt idx="183">
                  <c:v>113.75587473123329</c:v>
                </c:pt>
                <c:pt idx="184">
                  <c:v>114.32846490406777</c:v>
                </c:pt>
                <c:pt idx="185">
                  <c:v>114.90008047594421</c:v>
                </c:pt>
                <c:pt idx="186">
                  <c:v>115.4707196169453</c:v>
                </c:pt>
                <c:pt idx="187">
                  <c:v>116.04038050531507</c:v>
                </c:pt>
                <c:pt idx="188">
                  <c:v>116.60906132747272</c:v>
                </c:pt>
                <c:pt idx="189">
                  <c:v>117.17676027802591</c:v>
                </c:pt>
                <c:pt idx="190">
                  <c:v>117.74347555978427</c:v>
                </c:pt>
                <c:pt idx="191">
                  <c:v>118.30920538377241</c:v>
                </c:pt>
                <c:pt idx="192">
                  <c:v>118.87394796924269</c:v>
                </c:pt>
                <c:pt idx="193">
                  <c:v>119.43770154368815</c:v>
                </c:pt>
                <c:pt idx="194">
                  <c:v>120.0004643428548</c:v>
                </c:pt>
                <c:pt idx="195">
                  <c:v>120.562234610754</c:v>
                </c:pt>
                <c:pt idx="196">
                  <c:v>121.12301059967447</c:v>
                </c:pt>
                <c:pt idx="197">
                  <c:v>121.6827905701942</c:v>
                </c:pt>
                <c:pt idx="198">
                  <c:v>122.24157279119214</c:v>
                </c:pt>
                <c:pt idx="199">
                  <c:v>122.79935553985959</c:v>
                </c:pt>
                <c:pt idx="200">
                  <c:v>123.35613710171145</c:v>
                </c:pt>
                <c:pt idx="201">
                  <c:v>123.9119157705973</c:v>
                </c:pt>
                <c:pt idx="202">
                  <c:v>124.46668984871218</c:v>
                </c:pt>
                <c:pt idx="203">
                  <c:v>125.02045764660718</c:v>
                </c:pt>
                <c:pt idx="204">
                  <c:v>125.57321748319993</c:v>
                </c:pt>
                <c:pt idx="205">
                  <c:v>126.12496768578464</c:v>
                </c:pt>
                <c:pt idx="206">
                  <c:v>126.6756390018901</c:v>
                </c:pt>
                <c:pt idx="207">
                  <c:v>127.22516213245601</c:v>
                </c:pt>
                <c:pt idx="208">
                  <c:v>127.77353536676566</c:v>
                </c:pt>
                <c:pt idx="209">
                  <c:v>128.32075700381486</c:v>
                </c:pt>
                <c:pt idx="210">
                  <c:v>128.86682535231901</c:v>
                </c:pt>
                <c:pt idx="211">
                  <c:v>129.41173873071978</c:v>
                </c:pt>
                <c:pt idx="212">
                  <c:v>129.95549546719167</c:v>
                </c:pt>
                <c:pt idx="213">
                  <c:v>130.4980938996481</c:v>
                </c:pt>
                <c:pt idx="214">
                  <c:v>131.03953237574763</c:v>
                </c:pt>
                <c:pt idx="215">
                  <c:v>131.57980925289945</c:v>
                </c:pt>
                <c:pt idx="216">
                  <c:v>132.11892289826892</c:v>
                </c:pt>
                <c:pt idx="217">
                  <c:v>132.65687168878276</c:v>
                </c:pt>
                <c:pt idx="218">
                  <c:v>133.19365401113404</c:v>
                </c:pt>
                <c:pt idx="219">
                  <c:v>133.72926826178673</c:v>
                </c:pt>
                <c:pt idx="220">
                  <c:v>134.26371284698021</c:v>
                </c:pt>
                <c:pt idx="221">
                  <c:v>134.79698618273349</c:v>
                </c:pt>
                <c:pt idx="222">
                  <c:v>135.32908669484885</c:v>
                </c:pt>
                <c:pt idx="223">
                  <c:v>135.86001281891589</c:v>
                </c:pt>
                <c:pt idx="224">
                  <c:v>136.38976300031445</c:v>
                </c:pt>
                <c:pt idx="225">
                  <c:v>136.91833569421809</c:v>
                </c:pt>
                <c:pt idx="226">
                  <c:v>137.44572936559672</c:v>
                </c:pt>
                <c:pt idx="227">
                  <c:v>137.9719424892194</c:v>
                </c:pt>
                <c:pt idx="228">
                  <c:v>138.4969735496565</c:v>
                </c:pt>
                <c:pt idx="229">
                  <c:v>139.02082104128189</c:v>
                </c:pt>
                <c:pt idx="230">
                  <c:v>139.54348346827476</c:v>
                </c:pt>
                <c:pt idx="231">
                  <c:v>140.06495934462114</c:v>
                </c:pt>
                <c:pt idx="232">
                  <c:v>140.58524719411523</c:v>
                </c:pt>
                <c:pt idx="233">
                  <c:v>141.10434555036056</c:v>
                </c:pt>
                <c:pt idx="234">
                  <c:v>141.62225295677061</c:v>
                </c:pt>
                <c:pt idx="235">
                  <c:v>142.13896796656942</c:v>
                </c:pt>
                <c:pt idx="236">
                  <c:v>142.65448914279196</c:v>
                </c:pt>
                <c:pt idx="237">
                  <c:v>143.16881505828405</c:v>
                </c:pt>
                <c:pt idx="238">
                  <c:v>143.68194429570224</c:v>
                </c:pt>
                <c:pt idx="239">
                  <c:v>144.19387544751319</c:v>
                </c:pt>
                <c:pt idx="240">
                  <c:v>144.70460711599301</c:v>
                </c:pt>
                <c:pt idx="241">
                  <c:v>145.2141379132263</c:v>
                </c:pt>
                <c:pt idx="242">
                  <c:v>145.72223313543449</c:v>
                </c:pt>
                <c:pt idx="243">
                  <c:v>146.22865793467747</c:v>
                </c:pt>
                <c:pt idx="244">
                  <c:v>146.73341079867473</c:v>
                </c:pt>
                <c:pt idx="245">
                  <c:v>147.23649022967669</c:v>
                </c:pt>
                <c:pt idx="246">
                  <c:v>147.73789474444936</c:v>
                </c:pt>
                <c:pt idx="247">
                  <c:v>148.23762287425853</c:v>
                </c:pt>
                <c:pt idx="248">
                  <c:v>148.73567316485335</c:v>
                </c:pt>
                <c:pt idx="249">
                  <c:v>149.2320441764499</c:v>
                </c:pt>
                <c:pt idx="250">
                  <c:v>149.72673448371407</c:v>
                </c:pt>
                <c:pt idx="251">
                  <c:v>150.21974267574399</c:v>
                </c:pt>
                <c:pt idx="252">
                  <c:v>150.7110673560525</c:v>
                </c:pt>
                <c:pt idx="253">
                  <c:v>151.20070714254868</c:v>
                </c:pt>
                <c:pt idx="254">
                  <c:v>151.68866066751934</c:v>
                </c:pt>
                <c:pt idx="255">
                  <c:v>152.17492657761002</c:v>
                </c:pt>
                <c:pt idx="256">
                  <c:v>152.65950353380566</c:v>
                </c:pt>
                <c:pt idx="257">
                  <c:v>153.14239021141069</c:v>
                </c:pt>
                <c:pt idx="258">
                  <c:v>153.62358530002905</c:v>
                </c:pt>
                <c:pt idx="259">
                  <c:v>154.10308750354361</c:v>
                </c:pt>
                <c:pt idx="260">
                  <c:v>154.58089554009524</c:v>
                </c:pt>
                <c:pt idx="261">
                  <c:v>155.05700814206151</c:v>
                </c:pt>
                <c:pt idx="262">
                  <c:v>155.53142405603518</c:v>
                </c:pt>
                <c:pt idx="263">
                  <c:v>156.00414204280199</c:v>
                </c:pt>
                <c:pt idx="264">
                  <c:v>156.47516087731842</c:v>
                </c:pt>
                <c:pt idx="265">
                  <c:v>156.94447934868884</c:v>
                </c:pt>
                <c:pt idx="266">
                  <c:v>157.4120962601425</c:v>
                </c:pt>
                <c:pt idx="267">
                  <c:v>157.87801042900992</c:v>
                </c:pt>
                <c:pt idx="268">
                  <c:v>158.34222068669908</c:v>
                </c:pt>
                <c:pt idx="269">
                  <c:v>158.80472587867135</c:v>
                </c:pt>
                <c:pt idx="270">
                  <c:v>159.26552486441668</c:v>
                </c:pt>
                <c:pt idx="271">
                  <c:v>159.72461651742896</c:v>
                </c:pt>
                <c:pt idx="272">
                  <c:v>160.18199972518059</c:v>
                </c:pt>
                <c:pt idx="273">
                  <c:v>160.63767338909685</c:v>
                </c:pt>
                <c:pt idx="274">
                  <c:v>161.09163642453015</c:v>
                </c:pt>
                <c:pt idx="275">
                  <c:v>161.54388776073347</c:v>
                </c:pt>
                <c:pt idx="276">
                  <c:v>161.99442634083394</c:v>
                </c:pt>
                <c:pt idx="277">
                  <c:v>162.44325112180567</c:v>
                </c:pt>
                <c:pt idx="278">
                  <c:v>162.89036107444255</c:v>
                </c:pt>
                <c:pt idx="279">
                  <c:v>163.33575518333055</c:v>
                </c:pt>
                <c:pt idx="280">
                  <c:v>163.77943244681978</c:v>
                </c:pt>
                <c:pt idx="281">
                  <c:v>164.22139187699611</c:v>
                </c:pt>
                <c:pt idx="282">
                  <c:v>164.66163249965257</c:v>
                </c:pt>
                <c:pt idx="283">
                  <c:v>165.10015335426036</c:v>
                </c:pt>
                <c:pt idx="284">
                  <c:v>165.53722700950806</c:v>
                </c:pt>
                <c:pt idx="285">
                  <c:v>165.97312617051475</c:v>
                </c:pt>
                <c:pt idx="286">
                  <c:v>166.40784999875257</c:v>
                </c:pt>
                <c:pt idx="287">
                  <c:v>166.8413976641929</c:v>
                </c:pt>
                <c:pt idx="288">
                  <c:v>167.27376834529522</c:v>
                </c:pt>
                <c:pt idx="289">
                  <c:v>167.70496122899507</c:v>
                </c:pt>
                <c:pt idx="290">
                  <c:v>168.13497551069253</c:v>
                </c:pt>
                <c:pt idx="291">
                  <c:v>168.56381039424011</c:v>
                </c:pt>
                <c:pt idx="292">
                  <c:v>168.99146509193051</c:v>
                </c:pt>
                <c:pt idx="293">
                  <c:v>169.41793882448437</c:v>
                </c:pt>
                <c:pt idx="294">
                  <c:v>169.84323082103771</c:v>
                </c:pt>
                <c:pt idx="295">
                  <c:v>170.2673403191292</c:v>
                </c:pt>
                <c:pt idx="296">
                  <c:v>170.69026656468731</c:v>
                </c:pt>
                <c:pt idx="297">
                  <c:v>171.11200881201719</c:v>
                </c:pt>
                <c:pt idx="298">
                  <c:v>171.53256632378768</c:v>
                </c:pt>
                <c:pt idx="299">
                  <c:v>171.9519383710176</c:v>
                </c:pt>
                <c:pt idx="300">
                  <c:v>172.37012423306243</c:v>
                </c:pt>
                <c:pt idx="301">
                  <c:v>172.78712319760049</c:v>
                </c:pt>
                <c:pt idx="302">
                  <c:v>173.20293456061904</c:v>
                </c:pt>
                <c:pt idx="303">
                  <c:v>173.61755762640033</c:v>
                </c:pt>
                <c:pt idx="304">
                  <c:v>174.03099170750721</c:v>
                </c:pt>
                <c:pt idx="305">
                  <c:v>174.44323612476887</c:v>
                </c:pt>
                <c:pt idx="306">
                  <c:v>174.85429020726627</c:v>
                </c:pt>
                <c:pt idx="307">
                  <c:v>175.26415329231742</c:v>
                </c:pt>
                <c:pt idx="308">
                  <c:v>175.6728247254625</c:v>
                </c:pt>
                <c:pt idx="309">
                  <c:v>176.08030386044879</c:v>
                </c:pt>
                <c:pt idx="310">
                  <c:v>176.48659005921562</c:v>
                </c:pt>
                <c:pt idx="311">
                  <c:v>176.89168269187886</c:v>
                </c:pt>
                <c:pt idx="312">
                  <c:v>177.2955811367155</c:v>
                </c:pt>
                <c:pt idx="313">
                  <c:v>177.6982847801481</c:v>
                </c:pt>
                <c:pt idx="314">
                  <c:v>178.09979301672871</c:v>
                </c:pt>
                <c:pt idx="315">
                  <c:v>178.50010524912318</c:v>
                </c:pt>
                <c:pt idx="316">
                  <c:v>178.89922088809485</c:v>
                </c:pt>
                <c:pt idx="317">
                  <c:v>179.29713935248847</c:v>
                </c:pt>
                <c:pt idx="318">
                  <c:v>179.69386006921357</c:v>
                </c:pt>
                <c:pt idx="319">
                  <c:v>180.08938247322814</c:v>
                </c:pt>
                <c:pt idx="320">
                  <c:v>180.48370600752159</c:v>
                </c:pt>
                <c:pt idx="321">
                  <c:v>180.87683012309833</c:v>
                </c:pt>
                <c:pt idx="322">
                  <c:v>181.26875427896033</c:v>
                </c:pt>
                <c:pt idx="323">
                  <c:v>181.65947794209026</c:v>
                </c:pt>
                <c:pt idx="324">
                  <c:v>182.04900058743411</c:v>
                </c:pt>
                <c:pt idx="325">
                  <c:v>182.43732169788376</c:v>
                </c:pt>
                <c:pt idx="326">
                  <c:v>182.82445754089886</c:v>
                </c:pt>
                <c:pt idx="327">
                  <c:v>183.21042439676003</c:v>
                </c:pt>
                <c:pt idx="328">
                  <c:v>183.59522177246814</c:v>
                </c:pt>
                <c:pt idx="329">
                  <c:v>183.97884918263813</c:v>
                </c:pt>
                <c:pt idx="330">
                  <c:v>184.36130614948206</c:v>
                </c:pt>
                <c:pt idx="331">
                  <c:v>184.74259220279171</c:v>
                </c:pt>
                <c:pt idx="332">
                  <c:v>185.12270687992162</c:v>
                </c:pt>
                <c:pt idx="333">
                  <c:v>185.5016497257713</c:v>
                </c:pt>
                <c:pt idx="334">
                  <c:v>185.87942029276812</c:v>
                </c:pt>
                <c:pt idx="335">
                  <c:v>186.25601814084916</c:v>
                </c:pt>
                <c:pt idx="336">
                  <c:v>186.63144283744387</c:v>
                </c:pt>
                <c:pt idx="337">
                  <c:v>187.00569395745575</c:v>
                </c:pt>
                <c:pt idx="338">
                  <c:v>187.37877108324466</c:v>
                </c:pt>
                <c:pt idx="339">
                  <c:v>187.75067380460837</c:v>
                </c:pt>
                <c:pt idx="340">
                  <c:v>188.12140171876447</c:v>
                </c:pt>
                <c:pt idx="341">
                  <c:v>188.49095443033178</c:v>
                </c:pt>
                <c:pt idx="342">
                  <c:v>188.85933155131212</c:v>
                </c:pt>
                <c:pt idx="343">
                  <c:v>189.22653270107136</c:v>
                </c:pt>
                <c:pt idx="344">
                  <c:v>189.59255750632084</c:v>
                </c:pt>
                <c:pt idx="345">
                  <c:v>189.95740560109837</c:v>
                </c:pt>
                <c:pt idx="346">
                  <c:v>190.32107662674949</c:v>
                </c:pt>
                <c:pt idx="347">
                  <c:v>190.68357023190808</c:v>
                </c:pt>
                <c:pt idx="348">
                  <c:v>191.04488607247728</c:v>
                </c:pt>
                <c:pt idx="349">
                  <c:v>191.40502381161025</c:v>
                </c:pt>
                <c:pt idx="350">
                  <c:v>191.76398311969061</c:v>
                </c:pt>
                <c:pt idx="351">
                  <c:v>192.12176367431297</c:v>
                </c:pt>
                <c:pt idx="352">
                  <c:v>192.47836516026325</c:v>
                </c:pt>
                <c:pt idx="353">
                  <c:v>192.83378726949894</c:v>
                </c:pt>
                <c:pt idx="354">
                  <c:v>193.18802970112921</c:v>
                </c:pt>
                <c:pt idx="355">
                  <c:v>193.54109216139503</c:v>
                </c:pt>
                <c:pt idx="356">
                  <c:v>193.89297436364902</c:v>
                </c:pt>
                <c:pt idx="357">
                  <c:v>194.24367602833536</c:v>
                </c:pt>
                <c:pt idx="358">
                  <c:v>194.59319688296938</c:v>
                </c:pt>
                <c:pt idx="359">
                  <c:v>194.94153666211739</c:v>
                </c:pt>
                <c:pt idx="360">
                  <c:v>195.28869510737601</c:v>
                </c:pt>
                <c:pt idx="361">
                  <c:v>195.63467196735178</c:v>
                </c:pt>
                <c:pt idx="362">
                  <c:v>195.97946699764037</c:v>
                </c:pt>
                <c:pt idx="363">
                  <c:v>196.3230799608059</c:v>
                </c:pt>
                <c:pt idx="364">
                  <c:v>196.66551062636003</c:v>
                </c:pt>
                <c:pt idx="365">
                  <c:v>197.00675877074102</c:v>
                </c:pt>
                <c:pt idx="366">
                  <c:v>197.34724885688328</c:v>
                </c:pt>
                <c:pt idx="367">
                  <c:v>197.68740541986273</c:v>
                </c:pt>
                <c:pt idx="368">
                  <c:v>198.02722816393069</c:v>
                </c:pt>
                <c:pt idx="369">
                  <c:v>198.36671679523766</c:v>
                </c:pt>
                <c:pt idx="370">
                  <c:v>198.70587102183268</c:v>
                </c:pt>
                <c:pt idx="371">
                  <c:v>199.04469055366238</c:v>
                </c:pt>
                <c:pt idx="372">
                  <c:v>199.38317510257016</c:v>
                </c:pt>
                <c:pt idx="373">
                  <c:v>199.72132438229551</c:v>
                </c:pt>
                <c:pt idx="374">
                  <c:v>200.05913810847275</c:v>
                </c:pt>
                <c:pt idx="375">
                  <c:v>200.39661599863061</c:v>
                </c:pt>
                <c:pt idx="376">
                  <c:v>200.73375777219084</c:v>
                </c:pt>
                <c:pt idx="377">
                  <c:v>201.07056315046751</c:v>
                </c:pt>
                <c:pt idx="378">
                  <c:v>201.40703185666598</c:v>
                </c:pt>
                <c:pt idx="379">
                  <c:v>201.74316361588185</c:v>
                </c:pt>
                <c:pt idx="380">
                  <c:v>202.07895815510005</c:v>
                </c:pt>
                <c:pt idx="381">
                  <c:v>202.41395709281809</c:v>
                </c:pt>
                <c:pt idx="382">
                  <c:v>202.74770199100931</c:v>
                </c:pt>
                <c:pt idx="383">
                  <c:v>203.0801927061035</c:v>
                </c:pt>
                <c:pt idx="384">
                  <c:v>203.41142910175711</c:v>
                </c:pt>
                <c:pt idx="385">
                  <c:v>203.74141104882841</c:v>
                </c:pt>
                <c:pt idx="386">
                  <c:v>204.07013842535295</c:v>
                </c:pt>
                <c:pt idx="387">
                  <c:v>204.39761111651842</c:v>
                </c:pt>
                <c:pt idx="388">
                  <c:v>204.72382901463982</c:v>
                </c:pt>
                <c:pt idx="389">
                  <c:v>205.04879201913428</c:v>
                </c:pt>
                <c:pt idx="390">
                  <c:v>205.37250003649615</c:v>
                </c:pt>
                <c:pt idx="391">
                  <c:v>205.69495298027164</c:v>
                </c:pt>
                <c:pt idx="392">
                  <c:v>206.01615077103344</c:v>
                </c:pt>
                <c:pt idx="393">
                  <c:v>206.3360933363555</c:v>
                </c:pt>
                <c:pt idx="394">
                  <c:v>206.65478061078758</c:v>
                </c:pt>
                <c:pt idx="395">
                  <c:v>206.97221253582958</c:v>
                </c:pt>
                <c:pt idx="396">
                  <c:v>207.28838905990617</c:v>
                </c:pt>
                <c:pt idx="397">
                  <c:v>207.60331013834085</c:v>
                </c:pt>
                <c:pt idx="398">
                  <c:v>207.9169757333305</c:v>
                </c:pt>
                <c:pt idx="399">
                  <c:v>208.22938581391932</c:v>
                </c:pt>
                <c:pt idx="400">
                  <c:v>208.54054035597312</c:v>
                </c:pt>
                <c:pt idx="401">
                  <c:v>208.85008004200171</c:v>
                </c:pt>
                <c:pt idx="402">
                  <c:v>209.15764554201482</c:v>
                </c:pt>
                <c:pt idx="403">
                  <c:v>209.46323699578633</c:v>
                </c:pt>
                <c:pt idx="404">
                  <c:v>209.76685455547849</c:v>
                </c:pt>
                <c:pt idx="405">
                  <c:v>210.06849838558108</c:v>
                </c:pt>
                <c:pt idx="406">
                  <c:v>210.36816866285025</c:v>
                </c:pt>
                <c:pt idx="407">
                  <c:v>210.66586557624763</c:v>
                </c:pt>
                <c:pt idx="408">
                  <c:v>210.96158932687885</c:v>
                </c:pt>
                <c:pt idx="409">
                  <c:v>211.2553401279323</c:v>
                </c:pt>
                <c:pt idx="410">
                  <c:v>211.5471182046175</c:v>
                </c:pt>
                <c:pt idx="411">
                  <c:v>211.83494149566644</c:v>
                </c:pt>
                <c:pt idx="412">
                  <c:v>212.11682796268028</c:v>
                </c:pt>
                <c:pt idx="413">
                  <c:v>212.39277886801682</c:v>
                </c:pt>
                <c:pt idx="414">
                  <c:v>212.66279554350339</c:v>
                </c:pt>
                <c:pt idx="415">
                  <c:v>212.92687938992856</c:v>
                </c:pt>
                <c:pt idx="416">
                  <c:v>213.18503187653241</c:v>
                </c:pt>
                <c:pt idx="417">
                  <c:v>213.43725454049564</c:v>
                </c:pt>
                <c:pt idx="418">
                  <c:v>213.68354898642733</c:v>
                </c:pt>
                <c:pt idx="419">
                  <c:v>213.92391688585141</c:v>
                </c:pt>
                <c:pt idx="420">
                  <c:v>214.15723384665318</c:v>
                </c:pt>
                <c:pt idx="421">
                  <c:v>214.38237569278652</c:v>
                </c:pt>
                <c:pt idx="422">
                  <c:v>214.59934509825621</c:v>
                </c:pt>
                <c:pt idx="423">
                  <c:v>214.80814485374626</c:v>
                </c:pt>
                <c:pt idx="424">
                  <c:v>215.00877786564374</c:v>
                </c:pt>
                <c:pt idx="425">
                  <c:v>215.2012471550596</c:v>
                </c:pt>
                <c:pt idx="426">
                  <c:v>215.38555585684736</c:v>
                </c:pt>
                <c:pt idx="427">
                  <c:v>215.56170721861901</c:v>
                </c:pt>
                <c:pt idx="428">
                  <c:v>215.72970459975872</c:v>
                </c:pt>
                <c:pt idx="429">
                  <c:v>215.88955147043421</c:v>
                </c:pt>
                <c:pt idx="430">
                  <c:v>216.04125141060632</c:v>
                </c:pt>
                <c:pt idx="431">
                  <c:v>216.18480810903631</c:v>
                </c:pt>
                <c:pt idx="432">
                  <c:v>216.31841356179777</c:v>
                </c:pt>
                <c:pt idx="433">
                  <c:v>216.44026050357476</c:v>
                </c:pt>
                <c:pt idx="434">
                  <c:v>216.55035485184516</c:v>
                </c:pt>
                <c:pt idx="435">
                  <c:v>216.64870273860515</c:v>
                </c:pt>
                <c:pt idx="436">
                  <c:v>216.73531050828529</c:v>
                </c:pt>
                <c:pt idx="437">
                  <c:v>216.81018471565997</c:v>
                </c:pt>
                <c:pt idx="438">
                  <c:v>216.8733321237514</c:v>
                </c:pt>
                <c:pt idx="439">
                  <c:v>216.92475970172833</c:v>
                </c:pt>
                <c:pt idx="440">
                  <c:v>216.9644746227994</c:v>
                </c:pt>
                <c:pt idx="441">
                  <c:v>216.99248426210175</c:v>
                </c:pt>
                <c:pt idx="442">
                  <c:v>217.00989544090297</c:v>
                </c:pt>
                <c:pt idx="443">
                  <c:v>217.01781453168348</c:v>
                </c:pt>
                <c:pt idx="444">
                  <c:v>217.01624794804576</c:v>
                </c:pt>
                <c:pt idx="445">
                  <c:v>217.0052022298101</c:v>
                </c:pt>
                <c:pt idx="446">
                  <c:v>216.98468404161525</c:v>
                </c:pt>
                <c:pt idx="447">
                  <c:v>216.95470017151894</c:v>
                </c:pt>
                <c:pt idx="448">
                  <c:v>216.91525752959799</c:v>
                </c:pt>
                <c:pt idx="449">
                  <c:v>216.86636314654831</c:v>
                </c:pt>
                <c:pt idx="450">
                  <c:v>216.80802417228466</c:v>
                </c:pt>
                <c:pt idx="451">
                  <c:v>216.7402478745411</c:v>
                </c:pt>
                <c:pt idx="452">
                  <c:v>216.66304163747128</c:v>
                </c:pt>
                <c:pt idx="453">
                  <c:v>216.57798582217035</c:v>
                </c:pt>
                <c:pt idx="454">
                  <c:v>216.48665967348637</c:v>
                </c:pt>
                <c:pt idx="455">
                  <c:v>216.38906825866553</c:v>
                </c:pt>
                <c:pt idx="456">
                  <c:v>216.28521668966357</c:v>
                </c:pt>
                <c:pt idx="457">
                  <c:v>216.17511012254062</c:v>
                </c:pt>
                <c:pt idx="458">
                  <c:v>216.05875375685696</c:v>
                </c:pt>
                <c:pt idx="459">
                  <c:v>215.93615283507052</c:v>
                </c:pt>
                <c:pt idx="460">
                  <c:v>215.80731264193565</c:v>
                </c:pt>
                <c:pt idx="461">
                  <c:v>215.67365345336228</c:v>
                </c:pt>
                <c:pt idx="462">
                  <c:v>215.53659436251746</c:v>
                </c:pt>
                <c:pt idx="463">
                  <c:v>215.3961382336494</c:v>
                </c:pt>
                <c:pt idx="464">
                  <c:v>215.25228793868953</c:v>
                </c:pt>
                <c:pt idx="465">
                  <c:v>215.1050463570885</c:v>
                </c:pt>
                <c:pt idx="466">
                  <c:v>214.95322788200266</c:v>
                </c:pt>
                <c:pt idx="467">
                  <c:v>214.79564797762893</c:v>
                </c:pt>
                <c:pt idx="468">
                  <c:v>214.61907689207735</c:v>
                </c:pt>
                <c:pt idx="469">
                  <c:v>214.42649359116714</c:v>
                </c:pt>
                <c:pt idx="470">
                  <c:v>214.23410905732746</c:v>
                </c:pt>
                <c:pt idx="471">
                  <c:v>214.04192286200998</c:v>
                </c:pt>
                <c:pt idx="472">
                  <c:v>213.84993457791919</c:v>
                </c:pt>
                <c:pt idx="473">
                  <c:v>213.65814377900759</c:v>
                </c:pt>
                <c:pt idx="474">
                  <c:v>213.46655004047125</c:v>
                </c:pt>
                <c:pt idx="475">
                  <c:v>213.27515293874552</c:v>
                </c:pt>
                <c:pt idx="476">
                  <c:v>213.08395205150038</c:v>
                </c:pt>
                <c:pt idx="477">
                  <c:v>212.89294695763616</c:v>
                </c:pt>
                <c:pt idx="478">
                  <c:v>212.70213723727903</c:v>
                </c:pt>
                <c:pt idx="479">
                  <c:v>212.51152247177666</c:v>
                </c:pt>
                <c:pt idx="480">
                  <c:v>212.32110224369384</c:v>
                </c:pt>
                <c:pt idx="481">
                  <c:v>212.13087613680824</c:v>
                </c:pt>
                <c:pt idx="482">
                  <c:v>211.9408437361059</c:v>
                </c:pt>
                <c:pt idx="483">
                  <c:v>211.75100462777709</c:v>
                </c:pt>
                <c:pt idx="484">
                  <c:v>211.56135839921188</c:v>
                </c:pt>
                <c:pt idx="485">
                  <c:v>211.37190463899597</c:v>
                </c:pt>
                <c:pt idx="486">
                  <c:v>211.18264293690643</c:v>
                </c:pt>
                <c:pt idx="487">
                  <c:v>210.9935728839074</c:v>
                </c:pt>
                <c:pt idx="488">
                  <c:v>210.80469407214596</c:v>
                </c:pt>
                <c:pt idx="489">
                  <c:v>210.61600609494789</c:v>
                </c:pt>
                <c:pt idx="490">
                  <c:v>210.42750854681344</c:v>
                </c:pt>
                <c:pt idx="491">
                  <c:v>210.23920102341336</c:v>
                </c:pt>
                <c:pt idx="492">
                  <c:v>210.05108312158453</c:v>
                </c:pt>
                <c:pt idx="493">
                  <c:v>209.86315443932594</c:v>
                </c:pt>
                <c:pt idx="494">
                  <c:v>209.67541457579466</c:v>
                </c:pt>
                <c:pt idx="495">
                  <c:v>209.48786313130165</c:v>
                </c:pt>
                <c:pt idx="496">
                  <c:v>209.30049970730772</c:v>
                </c:pt>
                <c:pt idx="497">
                  <c:v>209.11332390641948</c:v>
                </c:pt>
                <c:pt idx="498">
                  <c:v>208.92633533238535</c:v>
                </c:pt>
                <c:pt idx="499">
                  <c:v>208.73953359009141</c:v>
                </c:pt>
                <c:pt idx="500">
                  <c:v>208.55291828555769</c:v>
                </c:pt>
                <c:pt idx="501">
                  <c:v>206.68877056274349</c:v>
                </c:pt>
                <c:pt idx="502">
                  <c:v>204.84308805607895</c:v>
                </c:pt>
                <c:pt idx="503">
                  <c:v>203.01548639871362</c:v>
                </c:pt>
                <c:pt idx="504">
                  <c:v>201.20559207216203</c:v>
                </c:pt>
                <c:pt idx="505">
                  <c:v>199.41304203554847</c:v>
                </c:pt>
                <c:pt idx="506">
                  <c:v>197.63748337063413</c:v>
                </c:pt>
                <c:pt idx="507">
                  <c:v>195.87857294186907</c:v>
                </c:pt>
                <c:pt idx="508">
                  <c:v>194.13597707075363</c:v>
                </c:pt>
                <c:pt idx="509">
                  <c:v>192.40937122383312</c:v>
                </c:pt>
                <c:pt idx="510">
                  <c:v>190.69843971368917</c:v>
                </c:pt>
                <c:pt idx="511">
                  <c:v>189.00287541232387</c:v>
                </c:pt>
                <c:pt idx="512">
                  <c:v>187.32237947636813</c:v>
                </c:pt>
                <c:pt idx="513">
                  <c:v>185.65666108357487</c:v>
                </c:pt>
                <c:pt idx="514">
                  <c:v>184.00543718008916</c:v>
                </c:pt>
                <c:pt idx="515">
                  <c:v>182.36843223801233</c:v>
                </c:pt>
                <c:pt idx="516">
                  <c:v>180.74537802280577</c:v>
                </c:pt>
                <c:pt idx="517">
                  <c:v>179.13601337010263</c:v>
                </c:pt>
                <c:pt idx="518">
                  <c:v>177.54008397151975</c:v>
                </c:pt>
                <c:pt idx="519">
                  <c:v>175.9573421690834</c:v>
                </c:pt>
                <c:pt idx="520">
                  <c:v>174.38754675790344</c:v>
                </c:pt>
                <c:pt idx="521">
                  <c:v>172.83046279674977</c:v>
                </c:pt>
                <c:pt idx="522">
                  <c:v>171.2858614262027</c:v>
                </c:pt>
                <c:pt idx="523">
                  <c:v>169.75351969406762</c:v>
                </c:pt>
                <c:pt idx="524">
                  <c:v>168.23322038775942</c:v>
                </c:pt>
                <c:pt idx="525">
                  <c:v>166.72475187337815</c:v>
                </c:pt>
                <c:pt idx="526">
                  <c:v>165.22790794121289</c:v>
                </c:pt>
                <c:pt idx="527">
                  <c:v>163.74248765742354</c:v>
                </c:pt>
                <c:pt idx="528">
                  <c:v>162.26829522166435</c:v>
                </c:pt>
                <c:pt idx="529">
                  <c:v>160.80513983042596</c:v>
                </c:pt>
                <c:pt idx="530">
                  <c:v>159.35283554588341</c:v>
                </c:pt>
                <c:pt idx="531">
                  <c:v>157.91120117005067</c:v>
                </c:pt>
                <c:pt idx="532">
                  <c:v>156.48006012405182</c:v>
                </c:pt>
                <c:pt idx="533">
                  <c:v>155.05924033233009</c:v>
                </c:pt>
                <c:pt idx="534">
                  <c:v>153.64857411162566</c:v>
                </c:pt>
                <c:pt idx="535">
                  <c:v>152.24789806456295</c:v>
                </c:pt>
                <c:pt idx="536">
                  <c:v>150.85705297769627</c:v>
                </c:pt>
                <c:pt idx="537">
                  <c:v>149.47588372387281</c:v>
                </c:pt>
                <c:pt idx="538">
                  <c:v>148.104239168779</c:v>
                </c:pt>
                <c:pt idx="539">
                  <c:v>146.74197208154482</c:v>
                </c:pt>
                <c:pt idx="540">
                  <c:v>145.38893904928872</c:v>
                </c:pt>
                <c:pt idx="541">
                  <c:v>144.04500039549262</c:v>
                </c:pt>
                <c:pt idx="542">
                  <c:v>142.71002010210353</c:v>
                </c:pt>
                <c:pt idx="543">
                  <c:v>141.38386573526651</c:v>
                </c:pt>
                <c:pt idx="544">
                  <c:v>140.06640837459861</c:v>
                </c:pt>
                <c:pt idx="545">
                  <c:v>138.75752254592126</c:v>
                </c:pt>
                <c:pt idx="546">
                  <c:v>137.45708615737476</c:v>
                </c:pt>
                <c:pt idx="547">
                  <c:v>136.16498043884397</c:v>
                </c:pt>
                <c:pt idx="548">
                  <c:v>134.88108988463119</c:v>
                </c:pt>
                <c:pt idx="549">
                  <c:v>133.60530219931786</c:v>
                </c:pt>
                <c:pt idx="550">
                  <c:v>132.33750824676207</c:v>
                </c:pt>
                <c:pt idx="551">
                  <c:v>131.07760200218544</c:v>
                </c:pt>
                <c:pt idx="552">
                  <c:v>129.82548050730759</c:v>
                </c:pt>
                <c:pt idx="553">
                  <c:v>128.58104382849299</c:v>
                </c:pt>
                <c:pt idx="554">
                  <c:v>127.34419501787946</c:v>
                </c:pt>
                <c:pt idx="555">
                  <c:v>126.11484007746402</c:v>
                </c:pt>
                <c:pt idx="556">
                  <c:v>124.89288792612652</c:v>
                </c:pt>
                <c:pt idx="557">
                  <c:v>123.67825036957737</c:v>
                </c:pt>
                <c:pt idx="558">
                  <c:v>122.47084207322089</c:v>
                </c:pt>
                <c:pt idx="559">
                  <c:v>121.27058053793154</c:v>
                </c:pt>
                <c:pt idx="560">
                  <c:v>120.07738607874536</c:v>
                </c:pt>
                <c:pt idx="561">
                  <c:v>118.89118180647509</c:v>
                </c:pt>
                <c:pt idx="562">
                  <c:v>117.71189361226237</c:v>
                </c:pt>
                <c:pt idx="563">
                  <c:v>116.53945015508677</c:v>
                </c:pt>
                <c:pt idx="564">
                  <c:v>115.37378285225651</c:v>
                </c:pt>
                <c:pt idx="565">
                  <c:v>114.21482587291226</c:v>
                </c:pt>
                <c:pt idx="566">
                  <c:v>113.06251613458063</c:v>
                </c:pt>
                <c:pt idx="567">
                  <c:v>111.91679330282065</c:v>
                </c:pt>
                <c:pt idx="568">
                  <c:v>110.77759979401253</c:v>
                </c:pt>
                <c:pt idx="569">
                  <c:v>109.64488078134411</c:v>
                </c:pt>
                <c:pt idx="570">
                  <c:v>108.51858420405723</c:v>
                </c:pt>
                <c:pt idx="571">
                  <c:v>107.39866078002282</c:v>
                </c:pt>
                <c:pt idx="572">
                  <c:v>106.2850640217201</c:v>
                </c:pt>
                <c:pt idx="573">
                  <c:v>105.17775025570263</c:v>
                </c:pt>
                <c:pt idx="574">
                  <c:v>104.07667864564078</c:v>
                </c:pt>
                <c:pt idx="575">
                  <c:v>102.98181121903774</c:v>
                </c:pt>
                <c:pt idx="576">
                  <c:v>101.89311289772367</c:v>
                </c:pt>
                <c:pt idx="577">
                  <c:v>100.81055153224044</c:v>
                </c:pt>
                <c:pt idx="578">
                  <c:v>99.734097940236822</c:v>
                </c:pt>
                <c:pt idx="579">
                  <c:v>98.663725949002952</c:v>
                </c:pt>
                <c:pt idx="580">
                  <c:v>97.599412442280197</c:v>
                </c:pt>
                <c:pt idx="581">
                  <c:v>96.541137411491661</c:v>
                </c:pt>
                <c:pt idx="582">
                  <c:v>95.488884011546745</c:v>
                </c:pt>
                <c:pt idx="583">
                  <c:v>94.442638621381761</c:v>
                </c:pt>
                <c:pt idx="584">
                  <c:v>93.402390909407984</c:v>
                </c:pt>
                <c:pt idx="585">
                  <c:v>92.368133904046246</c:v>
                </c:pt>
                <c:pt idx="586">
                  <c:v>91.339864069537001</c:v>
                </c:pt>
                <c:pt idx="587">
                  <c:v>90.317581387222702</c:v>
                </c:pt>
                <c:pt idx="588">
                  <c:v>89.301289442508548</c:v>
                </c:pt>
                <c:pt idx="589">
                  <c:v>88.290995517715402</c:v>
                </c:pt>
                <c:pt idx="590">
                  <c:v>87.28671069104729</c:v>
                </c:pt>
                <c:pt idx="591">
                  <c:v>86.288449941903252</c:v>
                </c:pt>
                <c:pt idx="592">
                  <c:v>85.296232262770133</c:v>
                </c:pt>
                <c:pt idx="593">
                  <c:v>84.310080777939731</c:v>
                </c:pt>
                <c:pt idx="594">
                  <c:v>83.33002286929856</c:v>
                </c:pt>
                <c:pt idx="595">
                  <c:v>82.356090309443232</c:v>
                </c:pt>
                <c:pt idx="596">
                  <c:v>81.388319402376709</c:v>
                </c:pt>
                <c:pt idx="597">
                  <c:v>80.426751132042497</c:v>
                </c:pt>
                <c:pt idx="598">
                  <c:v>79.471431318952426</c:v>
                </c:pt>
                <c:pt idx="599">
                  <c:v>78.522410785160588</c:v>
                </c:pt>
                <c:pt idx="600">
                  <c:v>77.579745527830141</c:v>
                </c:pt>
                <c:pt idx="601">
                  <c:v>76.643496901629433</c:v>
                </c:pt>
                <c:pt idx="602">
                  <c:v>75.713731810181528</c:v>
                </c:pt>
                <c:pt idx="603">
                  <c:v>74.790522906772168</c:v>
                </c:pt>
                <c:pt idx="604">
                  <c:v>73.873948804498852</c:v>
                </c:pt>
                <c:pt idx="605">
                  <c:v>72.964094296013471</c:v>
                </c:pt>
                <c:pt idx="606">
                  <c:v>72.061050582975099</c:v>
                </c:pt>
                <c:pt idx="607">
                  <c:v>71.164915515284648</c:v>
                </c:pt>
                <c:pt idx="608">
                  <c:v>70.275793840119547</c:v>
                </c:pt>
                <c:pt idx="609">
                  <c:v>69.393797460722013</c:v>
                </c:pt>
                <c:pt idx="610">
                  <c:v>68.519045704818637</c:v>
                </c:pt>
                <c:pt idx="611">
                  <c:v>67.651665602459303</c:v>
                </c:pt>
                <c:pt idx="612">
                  <c:v>66.791792172958324</c:v>
                </c:pt>
                <c:pt idx="613">
                  <c:v>65.939568720499707</c:v>
                </c:pt>
                <c:pt idx="614">
                  <c:v>65.095147137826785</c:v>
                </c:pt>
                <c:pt idx="615">
                  <c:v>64.25868821727552</c:v>
                </c:pt>
                <c:pt idx="616">
                  <c:v>63.430361968225618</c:v>
                </c:pt>
                <c:pt idx="617">
                  <c:v>62.610347939832458</c:v>
                </c:pt>
                <c:pt idx="618">
                  <c:v>61.798835547665178</c:v>
                </c:pt>
                <c:pt idx="619">
                  <c:v>60.996024402606345</c:v>
                </c:pt>
                <c:pt idx="620">
                  <c:v>60.202124640067709</c:v>
                </c:pt>
                <c:pt idx="621">
                  <c:v>59.417357247239003</c:v>
                </c:pt>
                <c:pt idx="622">
                  <c:v>58.641954385713461</c:v>
                </c:pt>
                <c:pt idx="623">
                  <c:v>57.876159706420474</c:v>
                </c:pt>
                <c:pt idx="624">
                  <c:v>57.120228653343361</c:v>
                </c:pt>
                <c:pt idx="625">
                  <c:v>56.374428752006395</c:v>
                </c:pt>
                <c:pt idx="626">
                  <c:v>55.63903987818135</c:v>
                </c:pt>
                <c:pt idx="627">
                  <c:v>54.914354501691001</c:v>
                </c:pt>
                <c:pt idx="628">
                  <c:v>54.200677899577578</c:v>
                </c:pt>
                <c:pt idx="629">
                  <c:v>53.498328332263526</c:v>
                </c:pt>
                <c:pt idx="630">
                  <c:v>52.807637175665967</c:v>
                </c:pt>
                <c:pt idx="631">
                  <c:v>52.128949001544655</c:v>
                </c:pt>
                <c:pt idx="632">
                  <c:v>51.462621597677597</c:v>
                </c:pt>
                <c:pt idx="633">
                  <c:v>50.809025918784677</c:v>
                </c:pt>
                <c:pt idx="634">
                  <c:v>50.168545958476564</c:v>
                </c:pt>
                <c:pt idx="635">
                  <c:v>49.541578531916656</c:v>
                </c:pt>
                <c:pt idx="636">
                  <c:v>48.928532958376259</c:v>
                </c:pt>
                <c:pt idx="637">
                  <c:v>48.329830632468926</c:v>
                </c:pt>
                <c:pt idx="638">
                  <c:v>47.745904472605822</c:v>
                </c:pt>
                <c:pt idx="639">
                  <c:v>47.17719823516088</c:v>
                </c:pt>
                <c:pt idx="640">
                  <c:v>46.624165683016713</c:v>
                </c:pt>
                <c:pt idx="641">
                  <c:v>46.087269597626864</c:v>
                </c:pt>
                <c:pt idx="642">
                  <c:v>45.566980624525122</c:v>
                </c:pt>
                <c:pt idx="643">
                  <c:v>45.063775943386069</c:v>
                </c:pt>
                <c:pt idx="644">
                  <c:v>44.578137755337096</c:v>
                </c:pt>
                <c:pt idx="645">
                  <c:v>44.110551582278703</c:v>
                </c:pt>
                <c:pt idx="646">
                  <c:v>43.661504375515925</c:v>
                </c:pt>
                <c:pt idx="647">
                  <c:v>43.231482434053419</c:v>
                </c:pt>
                <c:pt idx="648">
                  <c:v>42.820969136456988</c:v>
                </c:pt>
                <c:pt idx="649">
                  <c:v>42.430442494210375</c:v>
                </c:pt>
                <c:pt idx="650">
                  <c:v>42.060372538945678</c:v>
                </c:pt>
                <c:pt idx="651">
                  <c:v>41.711218560719729</c:v>
                </c:pt>
                <c:pt idx="652">
                  <c:v>41.383426219534499</c:v>
                </c:pt>
                <c:pt idx="653">
                  <c:v>41.07742455741564</c:v>
                </c:pt>
                <c:pt idx="654">
                  <c:v>40.793622943395945</c:v>
                </c:pt>
                <c:pt idx="655">
                  <c:v>40.532407988503607</c:v>
                </c:pt>
                <c:pt idx="656">
                  <c:v>40.29414047211192</c:v>
                </c:pt>
                <c:pt idx="657">
                  <c:v>40.07915232454291</c:v>
                </c:pt>
                <c:pt idx="658">
                  <c:v>39.887743713411837</c:v>
                </c:pt>
                <c:pt idx="659">
                  <c:v>39.720180282647341</c:v>
                </c:pt>
                <c:pt idx="660">
                  <c:v>39.576690593252067</c:v>
                </c:pt>
                <c:pt idx="661">
                  <c:v>39.457463813554227</c:v>
                </c:pt>
                <c:pt idx="662">
                  <c:v>39.362647703876476</c:v>
                </c:pt>
                <c:pt idx="663">
                  <c:v>39.29234693621683</c:v>
                </c:pt>
                <c:pt idx="664">
                  <c:v>39.246621783777002</c:v>
                </c:pt>
                <c:pt idx="665">
                  <c:v>39.225487208140805</c:v>
                </c:pt>
                <c:pt idx="666">
                  <c:v>39.228912363825366</c:v>
                </c:pt>
                <c:pt idx="667">
                  <c:v>39.256820531089495</c:v>
                </c:pt>
                <c:pt idx="668">
                  <c:v>39.309089478617494</c:v>
                </c:pt>
                <c:pt idx="669">
                  <c:v>39.385552248363503</c:v>
                </c:pt>
                <c:pt idx="670">
                  <c:v>39.485998345802756</c:v>
                </c:pt>
                <c:pt idx="671">
                  <c:v>39.610175310438478</c:v>
                </c:pt>
                <c:pt idx="672">
                  <c:v>39.757790633962472</c:v>
                </c:pt>
                <c:pt idx="673">
                  <c:v>39.92851398721627</c:v>
                </c:pt>
                <c:pt idx="674">
                  <c:v>40.121979712230768</c:v>
                </c:pt>
                <c:pt idx="675">
                  <c:v>40.337789532244585</c:v>
                </c:pt>
                <c:pt idx="676">
                  <c:v>40.575515430745305</c:v>
                </c:pt>
                <c:pt idx="677">
                  <c:v>40.834702650203894</c:v>
                </c:pt>
                <c:pt idx="678">
                  <c:v>41.114872762174208</c:v>
                </c:pt>
                <c:pt idx="679">
                  <c:v>41.415526762650693</c:v>
                </c:pt>
                <c:pt idx="680">
                  <c:v>41.736148149823066</c:v>
                </c:pt>
                <c:pt idx="681">
                  <c:v>42.076205945418863</c:v>
                </c:pt>
                <c:pt idx="682">
                  <c:v>42.435157625457812</c:v>
                </c:pt>
                <c:pt idx="683">
                  <c:v>42.812451931233227</c:v>
                </c:pt>
                <c:pt idx="684">
                  <c:v>43.20753153647977</c:v>
                </c:pt>
                <c:pt idx="685">
                  <c:v>43.619835551798751</c:v>
                </c:pt>
                <c:pt idx="686">
                  <c:v>44.048801852337817</c:v>
                </c:pt>
                <c:pt idx="687">
                  <c:v>44.493869219336823</c:v>
                </c:pt>
                <c:pt idx="688">
                  <c:v>44.954479290363821</c:v>
                </c:pt>
                <c:pt idx="689">
                  <c:v>45.430078316812462</c:v>
                </c:pt>
                <c:pt idx="690">
                  <c:v>45.920118730479665</c:v>
                </c:pt>
                <c:pt idx="691">
                  <c:v>46.424060523780476</c:v>
                </c:pt>
                <c:pt idx="692">
                  <c:v>46.941372450393246</c:v>
                </c:pt>
                <c:pt idx="693">
                  <c:v>47.471533054887999</c:v>
                </c:pt>
                <c:pt idx="694">
                  <c:v>48.014031541209121</c:v>
                </c:pt>
                <c:pt idx="695">
                  <c:v>48.568368490803458</c:v>
                </c:pt>
                <c:pt idx="696">
                  <c:v>49.134056441754204</c:v>
                </c:pt>
                <c:pt idx="697">
                  <c:v>49.710620340548232</c:v>
                </c:pt>
                <c:pt idx="698">
                  <c:v>50.297597878117891</c:v>
                </c:pt>
                <c:pt idx="699">
                  <c:v>50.894539721604446</c:v>
                </c:pt>
                <c:pt idx="700">
                  <c:v>51.501009652931124</c:v>
                </c:pt>
                <c:pt idx="701">
                  <c:v>52.116584624788509</c:v>
                </c:pt>
                <c:pt idx="702">
                  <c:v>52.740854744057174</c:v>
                </c:pt>
                <c:pt idx="703">
                  <c:v>53.373423192051888</c:v>
                </c:pt>
                <c:pt idx="704">
                  <c:v>54.013906090293574</c:v>
                </c:pt>
                <c:pt idx="705">
                  <c:v>54.661932319819378</c:v>
                </c:pt>
                <c:pt idx="706">
                  <c:v>55.317143301345467</c:v>
                </c:pt>
                <c:pt idx="707">
                  <c:v>55.9791927429143</c:v>
                </c:pt>
                <c:pt idx="708">
                  <c:v>56.647746360998113</c:v>
                </c:pt>
                <c:pt idx="709">
                  <c:v>57.322481580401188</c:v>
                </c:pt>
                <c:pt idx="710">
                  <c:v>58.003087217710018</c:v>
                </c:pt>
                <c:pt idx="711">
                  <c:v>58.68926315248617</c:v>
                </c:pt>
                <c:pt idx="712">
                  <c:v>59.380719989883367</c:v>
                </c:pt>
                <c:pt idx="713">
                  <c:v>60.077178717898505</c:v>
                </c:pt>
                <c:pt idx="714">
                  <c:v>60.778370362035822</c:v>
                </c:pt>
                <c:pt idx="715">
                  <c:v>61.484035639772721</c:v>
                </c:pt>
                <c:pt idx="716">
                  <c:v>62.193924616863669</c:v>
                </c:pt>
                <c:pt idx="717">
                  <c:v>62.907796367202749</c:v>
                </c:pt>
                <c:pt idx="718">
                  <c:v>63.625418637683673</c:v>
                </c:pt>
                <c:pt idx="719">
                  <c:v>64.346567519245937</c:v>
                </c:pt>
                <c:pt idx="720">
                  <c:v>65.071027125074835</c:v>
                </c:pt>
                <c:pt idx="721">
                  <c:v>65.798589276729103</c:v>
                </c:pt>
                <c:pt idx="722">
                  <c:v>66.529053198799616</c:v>
                </c:pt>
                <c:pt idx="723">
                  <c:v>67.26222522255533</c:v>
                </c:pt>
                <c:pt idx="724">
                  <c:v>67.997918498904042</c:v>
                </c:pt>
                <c:pt idx="725">
                  <c:v>68.735952720885592</c:v>
                </c:pt>
                <c:pt idx="726">
                  <c:v>69.476153855820826</c:v>
                </c:pt>
                <c:pt idx="727">
                  <c:v>70.218353887159083</c:v>
                </c:pt>
                <c:pt idx="728">
                  <c:v>70.962390565999286</c:v>
                </c:pt>
                <c:pt idx="729">
                  <c:v>71.708107172202958</c:v>
                </c:pt>
                <c:pt idx="730">
                  <c:v>72.455352284970218</c:v>
                </c:pt>
                <c:pt idx="731">
                  <c:v>73.203979562711311</c:v>
                </c:pt>
                <c:pt idx="732">
                  <c:v>73.953847532014692</c:v>
                </c:pt>
                <c:pt idx="733">
                  <c:v>74.704819385487994</c:v>
                </c:pt>
                <c:pt idx="734">
                  <c:v>75.456762788228914</c:v>
                </c:pt>
                <c:pt idx="735">
                  <c:v>76.209549692668261</c:v>
                </c:pt>
                <c:pt idx="736">
                  <c:v>76.963056161517116</c:v>
                </c:pt>
                <c:pt idx="737">
                  <c:v>77.717162198543193</c:v>
                </c:pt>
                <c:pt idx="738">
                  <c:v>78.471751586897184</c:v>
                </c:pt>
                <c:pt idx="739">
                  <c:v>79.226711734708928</c:v>
                </c:pt>
                <c:pt idx="740">
                  <c:v>79.981933527673036</c:v>
                </c:pt>
                <c:pt idx="741">
                  <c:v>80.73731118834705</c:v>
                </c:pt>
                <c:pt idx="742">
                  <c:v>81.49274214188803</c:v>
                </c:pt>
                <c:pt idx="743">
                  <c:v>82.248126887958961</c:v>
                </c:pt>
                <c:pt idx="744">
                  <c:v>83.003368878542432</c:v>
                </c:pt>
                <c:pt idx="745">
                  <c:v>83.758374401405007</c:v>
                </c:pt>
                <c:pt idx="746">
                  <c:v>84.513052468963949</c:v>
                </c:pt>
                <c:pt idx="747">
                  <c:v>85.267314712314615</c:v>
                </c:pt>
                <c:pt idx="748">
                  <c:v>86.021075280185514</c:v>
                </c:pt>
                <c:pt idx="749">
                  <c:v>86.774250742595797</c:v>
                </c:pt>
                <c:pt idx="750">
                  <c:v>87.526759998998457</c:v>
                </c:pt>
                <c:pt idx="751">
                  <c:v>88.27852419070048</c:v>
                </c:pt>
                <c:pt idx="752">
                  <c:v>89.029466617359816</c:v>
                </c:pt>
                <c:pt idx="753">
                  <c:v>89.779512657366951</c:v>
                </c:pt>
                <c:pt idx="754">
                  <c:v>90.528589691926911</c:v>
                </c:pt>
                <c:pt idx="755">
                  <c:v>91.276627032665772</c:v>
                </c:pt>
                <c:pt idx="756">
                  <c:v>92.023555852592864</c:v>
                </c:pt>
                <c:pt idx="757">
                  <c:v>92.769309120257887</c:v>
                </c:pt>
                <c:pt idx="758">
                  <c:v>93.513821536949038</c:v>
                </c:pt>
                <c:pt idx="759">
                  <c:v>94.257029476785732</c:v>
                </c:pt>
                <c:pt idx="760">
                  <c:v>94.998870929565783</c:v>
                </c:pt>
                <c:pt idx="761">
                  <c:v>95.739285446233808</c:v>
                </c:pt>
                <c:pt idx="762">
                  <c:v>96.478214086843863</c:v>
                </c:pt>
                <c:pt idx="763">
                  <c:v>97.215599370895148</c:v>
                </c:pt>
                <c:pt idx="764">
                  <c:v>97.951385229926032</c:v>
                </c:pt>
                <c:pt idx="765">
                  <c:v>98.68551696225606</c:v>
                </c:pt>
                <c:pt idx="766">
                  <c:v>99.41794118977252</c:v>
                </c:pt>
                <c:pt idx="767">
                  <c:v>100.14860581666152</c:v>
                </c:pt>
                <c:pt idx="768">
                  <c:v>100.8774599899898</c:v>
                </c:pt>
                <c:pt idx="769">
                  <c:v>101.60445406204735</c:v>
                </c:pt>
                <c:pt idx="770">
                  <c:v>102.32953955436535</c:v>
                </c:pt>
                <c:pt idx="771">
                  <c:v>103.05266912332857</c:v>
                </c:pt>
                <c:pt idx="772">
                  <c:v>103.77379652730509</c:v>
                </c:pt>
                <c:pt idx="773">
                  <c:v>104.49287659521985</c:v>
                </c:pt>
                <c:pt idx="774">
                  <c:v>105.2098651965027</c:v>
                </c:pt>
                <c:pt idx="775">
                  <c:v>105.92471921234441</c:v>
                </c:pt>
                <c:pt idx="776">
                  <c:v>106.63739650819794</c:v>
                </c:pt>
                <c:pt idx="777">
                  <c:v>107.347855907465</c:v>
                </c:pt>
                <c:pt idx="778">
                  <c:v>108.05605716631135</c:v>
                </c:pt>
                <c:pt idx="779">
                  <c:v>108.76196094955635</c:v>
                </c:pt>
                <c:pt idx="780">
                  <c:v>109.46552880758571</c:v>
                </c:pt>
                <c:pt idx="781">
                  <c:v>110.16672315423871</c:v>
                </c:pt>
                <c:pt idx="782">
                  <c:v>110.86550724562312</c:v>
                </c:pt>
                <c:pt idx="783">
                  <c:v>111.56184515981398</c:v>
                </c:pt>
                <c:pt idx="784">
                  <c:v>112.25570177739424</c:v>
                </c:pt>
                <c:pt idx="785">
                  <c:v>112.94704276279721</c:v>
                </c:pt>
                <c:pt idx="786">
                  <c:v>113.63583454641304</c:v>
                </c:pt>
                <c:pt idx="787">
                  <c:v>114.3220443074232</c:v>
                </c:pt>
                <c:pt idx="788">
                  <c:v>115.00563995732834</c:v>
                </c:pt>
                <c:pt idx="789">
                  <c:v>115.68659012413725</c:v>
                </c:pt>
                <c:pt idx="790">
                  <c:v>116.36486413718555</c:v>
                </c:pt>
                <c:pt idx="791">
                  <c:v>117.04043201255467</c:v>
                </c:pt>
                <c:pt idx="792">
                  <c:v>117.71326443906324</c:v>
                </c:pt>
                <c:pt idx="793">
                  <c:v>118.38333276480344</c:v>
                </c:pt>
                <c:pt idx="794">
                  <c:v>119.05060898419768</c:v>
                </c:pt>
                <c:pt idx="795">
                  <c:v>119.7150657255506</c:v>
                </c:pt>
                <c:pt idx="796">
                  <c:v>120.37667623907387</c:v>
                </c:pt>
                <c:pt idx="797">
                  <c:v>121.03541438536129</c:v>
                </c:pt>
                <c:pt idx="798">
                  <c:v>121.69125462429356</c:v>
                </c:pt>
                <c:pt idx="799">
                  <c:v>122.3441720043528</c:v>
                </c:pt>
                <c:pt idx="800">
                  <c:v>122.99414215232744</c:v>
                </c:pt>
                <c:pt idx="801">
                  <c:v>123.6411412633897</c:v>
                </c:pt>
                <c:pt idx="802">
                  <c:v>124.28514609152829</c:v>
                </c:pt>
                <c:pt idx="803">
                  <c:v>124.92613394031987</c:v>
                </c:pt>
                <c:pt idx="804">
                  <c:v>125.56408265402347</c:v>
                </c:pt>
                <c:pt idx="805">
                  <c:v>126.19897060898312</c:v>
                </c:pt>
                <c:pt idx="806">
                  <c:v>126.8307767053243</c:v>
                </c:pt>
                <c:pt idx="807">
                  <c:v>127.45948035893053</c:v>
                </c:pt>
                <c:pt idx="808">
                  <c:v>128.08506149368736</c:v>
                </c:pt>
                <c:pt idx="809">
                  <c:v>128.70750053398109</c:v>
                </c:pt>
                <c:pt idx="810">
                  <c:v>129.32677839744076</c:v>
                </c:pt>
                <c:pt idx="811">
                  <c:v>129.9428764879118</c:v>
                </c:pt>
                <c:pt idx="812">
                  <c:v>130.55577668865081</c:v>
                </c:pt>
                <c:pt idx="813">
                  <c:v>131.16546135573111</c:v>
                </c:pt>
                <c:pt idx="814">
                  <c:v>131.7719133116494</c:v>
                </c:pt>
                <c:pt idx="815">
                  <c:v>132.37511583912396</c:v>
                </c:pt>
                <c:pt idx="816">
                  <c:v>132.97505267507572</c:v>
                </c:pt>
                <c:pt idx="817">
                  <c:v>133.57170800478337</c:v>
                </c:pt>
                <c:pt idx="818">
                  <c:v>134.16506645620493</c:v>
                </c:pt>
                <c:pt idx="819">
                  <c:v>134.75511309445713</c:v>
                </c:pt>
                <c:pt idx="820">
                  <c:v>135.34183341644615</c:v>
                </c:pt>
                <c:pt idx="821">
                  <c:v>135.92521334564194</c:v>
                </c:pt>
                <c:pt idx="822">
                  <c:v>136.50523922698957</c:v>
                </c:pt>
                <c:pt idx="823">
                  <c:v>137.0818978219514</c:v>
                </c:pt>
                <c:pt idx="824">
                  <c:v>137.6551763036733</c:v>
                </c:pt>
                <c:pt idx="825">
                  <c:v>138.22506225226974</c:v>
                </c:pt>
                <c:pt idx="826">
                  <c:v>138.79154365022143</c:v>
                </c:pt>
                <c:pt idx="827">
                  <c:v>139.35460887788068</c:v>
                </c:pt>
                <c:pt idx="828">
                  <c:v>139.91424670907901</c:v>
                </c:pt>
                <c:pt idx="829">
                  <c:v>140.47044630683212</c:v>
                </c:pt>
                <c:pt idx="830">
                  <c:v>141.02319721913773</c:v>
                </c:pt>
                <c:pt idx="831">
                  <c:v>141.57248937486148</c:v>
                </c:pt>
                <c:pt idx="832">
                  <c:v>142.11831307970689</c:v>
                </c:pt>
                <c:pt idx="833">
                  <c:v>142.66065901226526</c:v>
                </c:pt>
                <c:pt idx="834">
                  <c:v>143.19951822014124</c:v>
                </c:pt>
                <c:pt idx="835">
                  <c:v>143.73488211615086</c:v>
                </c:pt>
                <c:pt idx="836">
                  <c:v>144.266742474588</c:v>
                </c:pt>
                <c:pt idx="837">
                  <c:v>144.79509142755623</c:v>
                </c:pt>
                <c:pt idx="838">
                  <c:v>145.31992146136255</c:v>
                </c:pt>
                <c:pt idx="839">
                  <c:v>145.84122541296986</c:v>
                </c:pt>
                <c:pt idx="840">
                  <c:v>146.35899646650537</c:v>
                </c:pt>
                <c:pt idx="841">
                  <c:v>146.87322814982238</c:v>
                </c:pt>
                <c:pt idx="842">
                  <c:v>147.38391433111164</c:v>
                </c:pt>
                <c:pt idx="843">
                  <c:v>147.89104921556117</c:v>
                </c:pt>
                <c:pt idx="844">
                  <c:v>148.39462734206106</c:v>
                </c:pt>
                <c:pt idx="845">
                  <c:v>148.89464357995104</c:v>
                </c:pt>
                <c:pt idx="846">
                  <c:v>149.39109312580914</c:v>
                </c:pt>
                <c:pt idx="847">
                  <c:v>149.88397150027834</c:v>
                </c:pt>
                <c:pt idx="848">
                  <c:v>150.37327454493024</c:v>
                </c:pt>
                <c:pt idx="849">
                  <c:v>150.85899841916287</c:v>
                </c:pt>
                <c:pt idx="850">
                  <c:v>151.3411395971315</c:v>
                </c:pt>
                <c:pt idx="851">
                  <c:v>151.81969486471013</c:v>
                </c:pt>
                <c:pt idx="852">
                  <c:v>152.29466131648229</c:v>
                </c:pt>
                <c:pt idx="853">
                  <c:v>152.76603635275961</c:v>
                </c:pt>
                <c:pt idx="854">
                  <c:v>153.23381767662636</c:v>
                </c:pt>
                <c:pt idx="855">
                  <c:v>153.69800329100877</c:v>
                </c:pt>
                <c:pt idx="856">
                  <c:v>154.15859149576744</c:v>
                </c:pt>
                <c:pt idx="857">
                  <c:v>154.61558088481198</c:v>
                </c:pt>
                <c:pt idx="858">
                  <c:v>155.06897034323623</c:v>
                </c:pt>
                <c:pt idx="859">
                  <c:v>155.51875904447328</c:v>
                </c:pt>
                <c:pt idx="860">
                  <c:v>155.96494644746852</c:v>
                </c:pt>
                <c:pt idx="861">
                  <c:v>156.40753229387047</c:v>
                </c:pt>
                <c:pt idx="862">
                  <c:v>156.84651660523784</c:v>
                </c:pt>
                <c:pt idx="863">
                  <c:v>157.28189968026194</c:v>
                </c:pt>
                <c:pt idx="864">
                  <c:v>157.71368209200389</c:v>
                </c:pt>
                <c:pt idx="865">
                  <c:v>158.14186468514518</c:v>
                </c:pt>
                <c:pt idx="866">
                  <c:v>158.56644857325145</c:v>
                </c:pt>
                <c:pt idx="867">
                  <c:v>158.98743513604828</c:v>
                </c:pt>
                <c:pt idx="868">
                  <c:v>159.40482601670826</c:v>
                </c:pt>
                <c:pt idx="869">
                  <c:v>159.81862311914918</c:v>
                </c:pt>
                <c:pt idx="870">
                  <c:v>160.22882860534202</c:v>
                </c:pt>
                <c:pt idx="871">
                  <c:v>160.63544489262878</c:v>
                </c:pt>
                <c:pt idx="872">
                  <c:v>161.03847465104903</c:v>
                </c:pt>
                <c:pt idx="873">
                  <c:v>161.4379208006753</c:v>
                </c:pt>
                <c:pt idx="874">
                  <c:v>161.83378650895617</c:v>
                </c:pt>
                <c:pt idx="875">
                  <c:v>162.22607518806734</c:v>
                </c:pt>
                <c:pt idx="876">
                  <c:v>162.61479049226926</c:v>
                </c:pt>
                <c:pt idx="877">
                  <c:v>162.99993631527238</c:v>
                </c:pt>
                <c:pt idx="878">
                  <c:v>163.38151678760798</c:v>
                </c:pt>
                <c:pt idx="879">
                  <c:v>163.75953627400574</c:v>
                </c:pt>
                <c:pt idx="880">
                  <c:v>164.13399937077702</c:v>
                </c:pt>
                <c:pt idx="881">
                  <c:v>164.50491090320338</c:v>
                </c:pt>
                <c:pt idx="882">
                  <c:v>164.87227592293092</c:v>
                </c:pt>
                <c:pt idx="883">
                  <c:v>165.2360997053693</c:v>
                </c:pt>
                <c:pt idx="884">
                  <c:v>165.59638774709589</c:v>
                </c:pt>
                <c:pt idx="885">
                  <c:v>165.95314576326459</c:v>
                </c:pt>
                <c:pt idx="886">
                  <c:v>166.30637968501924</c:v>
                </c:pt>
                <c:pt idx="887">
                  <c:v>166.65609565691159</c:v>
                </c:pt>
                <c:pt idx="888">
                  <c:v>167.00230003432344</c:v>
                </c:pt>
                <c:pt idx="889">
                  <c:v>167.34499938089306</c:v>
                </c:pt>
                <c:pt idx="890">
                  <c:v>167.34533852054423</c:v>
                </c:pt>
                <c:pt idx="891">
                  <c:v>167.34567765671486</c:v>
                </c:pt>
                <c:pt idx="892">
                  <c:v>167.34601678940493</c:v>
                </c:pt>
                <c:pt idx="893">
                  <c:v>167.34635591861442</c:v>
                </c:pt>
                <c:pt idx="894">
                  <c:v>167.34669504434339</c:v>
                </c:pt>
                <c:pt idx="895">
                  <c:v>167.34703416659184</c:v>
                </c:pt>
                <c:pt idx="896">
                  <c:v>167.34737328535974</c:v>
                </c:pt>
                <c:pt idx="897">
                  <c:v>167.34771240064711</c:v>
                </c:pt>
                <c:pt idx="898">
                  <c:v>167.34805151245399</c:v>
                </c:pt>
                <c:pt idx="899">
                  <c:v>167.34839062078035</c:v>
                </c:pt>
                <c:pt idx="900">
                  <c:v>167.34872972562621</c:v>
                </c:pt>
                <c:pt idx="901">
                  <c:v>167.34906882699158</c:v>
                </c:pt>
                <c:pt idx="902">
                  <c:v>167.34940792487646</c:v>
                </c:pt>
                <c:pt idx="903">
                  <c:v>167.34974701928084</c:v>
                </c:pt>
                <c:pt idx="904">
                  <c:v>167.35008611020476</c:v>
                </c:pt>
                <c:pt idx="905">
                  <c:v>167.35042519764821</c:v>
                </c:pt>
                <c:pt idx="906">
                  <c:v>167.35076428161119</c:v>
                </c:pt>
                <c:pt idx="907">
                  <c:v>167.35110336209374</c:v>
                </c:pt>
                <c:pt idx="908">
                  <c:v>167.35144243909582</c:v>
                </c:pt>
                <c:pt idx="909">
                  <c:v>167.35178151261749</c:v>
                </c:pt>
                <c:pt idx="910">
                  <c:v>167.35212058265873</c:v>
                </c:pt>
                <c:pt idx="911">
                  <c:v>167.35245964921953</c:v>
                </c:pt>
                <c:pt idx="912">
                  <c:v>167.35279871229989</c:v>
                </c:pt>
                <c:pt idx="913">
                  <c:v>167.35313777189987</c:v>
                </c:pt>
                <c:pt idx="914">
                  <c:v>167.35347682801941</c:v>
                </c:pt>
                <c:pt idx="915">
                  <c:v>167.35381588065857</c:v>
                </c:pt>
                <c:pt idx="916">
                  <c:v>167.35415492981735</c:v>
                </c:pt>
                <c:pt idx="917">
                  <c:v>167.35449397549579</c:v>
                </c:pt>
                <c:pt idx="918">
                  <c:v>167.35483301769378</c:v>
                </c:pt>
                <c:pt idx="919">
                  <c:v>167.35517205641145</c:v>
                </c:pt>
                <c:pt idx="920">
                  <c:v>167.35551109164874</c:v>
                </c:pt>
                <c:pt idx="921">
                  <c:v>167.35585012340567</c:v>
                </c:pt>
                <c:pt idx="922">
                  <c:v>167.35618915168229</c:v>
                </c:pt>
                <c:pt idx="923">
                  <c:v>167.35652817647849</c:v>
                </c:pt>
                <c:pt idx="924">
                  <c:v>167.3568671977944</c:v>
                </c:pt>
                <c:pt idx="925">
                  <c:v>167.35720621562999</c:v>
                </c:pt>
                <c:pt idx="926">
                  <c:v>167.35754522998522</c:v>
                </c:pt>
                <c:pt idx="927">
                  <c:v>167.35788424086019</c:v>
                </c:pt>
                <c:pt idx="928">
                  <c:v>167.35822324825483</c:v>
                </c:pt>
                <c:pt idx="929">
                  <c:v>167.35856225216918</c:v>
                </c:pt>
                <c:pt idx="930">
                  <c:v>167.3589012526032</c:v>
                </c:pt>
                <c:pt idx="931">
                  <c:v>167.35924024955696</c:v>
                </c:pt>
                <c:pt idx="932">
                  <c:v>167.35957924303045</c:v>
                </c:pt>
                <c:pt idx="933">
                  <c:v>167.35991823302365</c:v>
                </c:pt>
                <c:pt idx="934">
                  <c:v>167.36025721953658</c:v>
                </c:pt>
                <c:pt idx="935">
                  <c:v>167.36059620256927</c:v>
                </c:pt>
                <c:pt idx="936">
                  <c:v>167.36093518212169</c:v>
                </c:pt>
                <c:pt idx="937">
                  <c:v>167.36127415819388</c:v>
                </c:pt>
                <c:pt idx="938">
                  <c:v>167.36161313078586</c:v>
                </c:pt>
                <c:pt idx="939">
                  <c:v>167.36195209989754</c:v>
                </c:pt>
                <c:pt idx="940">
                  <c:v>167.36229106552906</c:v>
                </c:pt>
                <c:pt idx="941">
                  <c:v>167.36263002768035</c:v>
                </c:pt>
                <c:pt idx="942">
                  <c:v>167.36296898635143</c:v>
                </c:pt>
                <c:pt idx="943">
                  <c:v>167.3633079415423</c:v>
                </c:pt>
                <c:pt idx="944">
                  <c:v>167.36364689325296</c:v>
                </c:pt>
                <c:pt idx="945">
                  <c:v>167.36398584148347</c:v>
                </c:pt>
                <c:pt idx="946">
                  <c:v>167.36432478623379</c:v>
                </c:pt>
                <c:pt idx="947">
                  <c:v>167.36466372750391</c:v>
                </c:pt>
                <c:pt idx="948">
                  <c:v>167.36500266529384</c:v>
                </c:pt>
                <c:pt idx="949">
                  <c:v>167.36534159960365</c:v>
                </c:pt>
                <c:pt idx="950">
                  <c:v>167.36568053043331</c:v>
                </c:pt>
                <c:pt idx="951">
                  <c:v>167.36601945778281</c:v>
                </c:pt>
                <c:pt idx="952">
                  <c:v>167.36635838165216</c:v>
                </c:pt>
                <c:pt idx="953">
                  <c:v>167.36669730204142</c:v>
                </c:pt>
                <c:pt idx="954">
                  <c:v>167.36703621895049</c:v>
                </c:pt>
                <c:pt idx="955">
                  <c:v>167.36737513237946</c:v>
                </c:pt>
                <c:pt idx="956">
                  <c:v>167.36771404232834</c:v>
                </c:pt>
                <c:pt idx="957">
                  <c:v>167.3680529487971</c:v>
                </c:pt>
                <c:pt idx="958">
                  <c:v>167.36839185178579</c:v>
                </c:pt>
                <c:pt idx="959">
                  <c:v>167.36873075129435</c:v>
                </c:pt>
                <c:pt idx="960">
                  <c:v>167.36906964732285</c:v>
                </c:pt>
                <c:pt idx="961">
                  <c:v>167.36940853987124</c:v>
                </c:pt>
                <c:pt idx="962">
                  <c:v>167.36974742893963</c:v>
                </c:pt>
                <c:pt idx="963">
                  <c:v>167.37008631452792</c:v>
                </c:pt>
                <c:pt idx="964">
                  <c:v>167.37042519663612</c:v>
                </c:pt>
                <c:pt idx="965">
                  <c:v>167.3707640752643</c:v>
                </c:pt>
                <c:pt idx="966">
                  <c:v>167.37110295041245</c:v>
                </c:pt>
                <c:pt idx="967">
                  <c:v>167.37144182208053</c:v>
                </c:pt>
                <c:pt idx="968">
                  <c:v>167.37178069026857</c:v>
                </c:pt>
                <c:pt idx="969">
                  <c:v>167.37211955497662</c:v>
                </c:pt>
                <c:pt idx="970">
                  <c:v>167.37245841620467</c:v>
                </c:pt>
                <c:pt idx="971">
                  <c:v>167.37279727395267</c:v>
                </c:pt>
                <c:pt idx="972">
                  <c:v>167.37313612822069</c:v>
                </c:pt>
                <c:pt idx="973">
                  <c:v>167.37347497900873</c:v>
                </c:pt>
                <c:pt idx="974">
                  <c:v>167.37381382631679</c:v>
                </c:pt>
                <c:pt idx="975">
                  <c:v>167.37415267014484</c:v>
                </c:pt>
                <c:pt idx="976">
                  <c:v>167.37449151049293</c:v>
                </c:pt>
                <c:pt idx="977">
                  <c:v>167.37483034736104</c:v>
                </c:pt>
                <c:pt idx="978">
                  <c:v>167.37516918074923</c:v>
                </c:pt>
                <c:pt idx="979">
                  <c:v>167.37550801065743</c:v>
                </c:pt>
                <c:pt idx="980">
                  <c:v>167.37584683708567</c:v>
                </c:pt>
                <c:pt idx="981">
                  <c:v>167.37618566003403</c:v>
                </c:pt>
                <c:pt idx="982">
                  <c:v>167.37652447950239</c:v>
                </c:pt>
                <c:pt idx="983">
                  <c:v>167.37686329549086</c:v>
                </c:pt>
                <c:pt idx="984">
                  <c:v>167.37720210799944</c:v>
                </c:pt>
                <c:pt idx="985">
                  <c:v>167.37754091702809</c:v>
                </c:pt>
                <c:pt idx="986">
                  <c:v>167.37787972257684</c:v>
                </c:pt>
                <c:pt idx="987">
                  <c:v>167.37821852464569</c:v>
                </c:pt>
                <c:pt idx="988">
                  <c:v>167.37855732323462</c:v>
                </c:pt>
                <c:pt idx="989">
                  <c:v>167.3788961183437</c:v>
                </c:pt>
                <c:pt idx="990">
                  <c:v>167.37923490997289</c:v>
                </c:pt>
                <c:pt idx="991">
                  <c:v>167.37957369812224</c:v>
                </c:pt>
                <c:pt idx="992">
                  <c:v>167.37991248279172</c:v>
                </c:pt>
                <c:pt idx="993">
                  <c:v>167.38025126398134</c:v>
                </c:pt>
                <c:pt idx="994">
                  <c:v>167.38059004169111</c:v>
                </c:pt>
                <c:pt idx="995">
                  <c:v>167.38092881592104</c:v>
                </c:pt>
                <c:pt idx="996">
                  <c:v>167.38126758667113</c:v>
                </c:pt>
                <c:pt idx="997">
                  <c:v>167.38160635394141</c:v>
                </c:pt>
                <c:pt idx="998">
                  <c:v>167.38194511773185</c:v>
                </c:pt>
                <c:pt idx="999">
                  <c:v>167.38228387804247</c:v>
                </c:pt>
                <c:pt idx="1000">
                  <c:v>167.38262263487329</c:v>
                </c:pt>
              </c:numCache>
            </c:numRef>
          </c:yVal>
          <c:smooth val="0"/>
          <c:extLst>
            <c:ext xmlns:c16="http://schemas.microsoft.com/office/drawing/2014/chart" uri="{C3380CC4-5D6E-409C-BE32-E72D297353CC}">
              <c16:uniqueId val="{00000000-5E5E-49A9-9572-F68F3C525A8E}"/>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43.900100000000293</c:v>
                </c:pt>
                <c:pt idx="891">
                  <c:v>43.900200000000297</c:v>
                </c:pt>
                <c:pt idx="892">
                  <c:v>43.9003000000003</c:v>
                </c:pt>
                <c:pt idx="893">
                  <c:v>43.900400000000303</c:v>
                </c:pt>
                <c:pt idx="894">
                  <c:v>43.900500000000306</c:v>
                </c:pt>
                <c:pt idx="895">
                  <c:v>43.90060000000031</c:v>
                </c:pt>
                <c:pt idx="896">
                  <c:v>43.900700000000313</c:v>
                </c:pt>
                <c:pt idx="897">
                  <c:v>43.900800000000316</c:v>
                </c:pt>
                <c:pt idx="898">
                  <c:v>43.90090000000032</c:v>
                </c:pt>
                <c:pt idx="899">
                  <c:v>43.901000000000323</c:v>
                </c:pt>
                <c:pt idx="900">
                  <c:v>43.901100000000326</c:v>
                </c:pt>
                <c:pt idx="901">
                  <c:v>43.90120000000033</c:v>
                </c:pt>
                <c:pt idx="902">
                  <c:v>43.901300000000333</c:v>
                </c:pt>
                <c:pt idx="903">
                  <c:v>43.901400000000336</c:v>
                </c:pt>
                <c:pt idx="904">
                  <c:v>43.90150000000034</c:v>
                </c:pt>
                <c:pt idx="905">
                  <c:v>43.901600000000343</c:v>
                </c:pt>
                <c:pt idx="906">
                  <c:v>43.901700000000346</c:v>
                </c:pt>
                <c:pt idx="907">
                  <c:v>43.90180000000035</c:v>
                </c:pt>
                <c:pt idx="908">
                  <c:v>43.901900000000353</c:v>
                </c:pt>
                <c:pt idx="909">
                  <c:v>43.902000000000356</c:v>
                </c:pt>
                <c:pt idx="910">
                  <c:v>43.90210000000036</c:v>
                </c:pt>
                <c:pt idx="911">
                  <c:v>43.902200000000363</c:v>
                </c:pt>
                <c:pt idx="912">
                  <c:v>43.902300000000366</c:v>
                </c:pt>
                <c:pt idx="913">
                  <c:v>43.90240000000037</c:v>
                </c:pt>
                <c:pt idx="914">
                  <c:v>43.902500000000373</c:v>
                </c:pt>
                <c:pt idx="915">
                  <c:v>43.902600000000376</c:v>
                </c:pt>
                <c:pt idx="916">
                  <c:v>43.90270000000038</c:v>
                </c:pt>
                <c:pt idx="917">
                  <c:v>43.902800000000383</c:v>
                </c:pt>
                <c:pt idx="918">
                  <c:v>43.902900000000386</c:v>
                </c:pt>
                <c:pt idx="919">
                  <c:v>43.903000000000389</c:v>
                </c:pt>
                <c:pt idx="920">
                  <c:v>43.903100000000393</c:v>
                </c:pt>
                <c:pt idx="921">
                  <c:v>43.903200000000396</c:v>
                </c:pt>
                <c:pt idx="922">
                  <c:v>43.903300000000399</c:v>
                </c:pt>
                <c:pt idx="923">
                  <c:v>43.903400000000403</c:v>
                </c:pt>
                <c:pt idx="924">
                  <c:v>43.903500000000406</c:v>
                </c:pt>
                <c:pt idx="925">
                  <c:v>43.903600000000409</c:v>
                </c:pt>
                <c:pt idx="926">
                  <c:v>43.903700000000413</c:v>
                </c:pt>
                <c:pt idx="927">
                  <c:v>43.903800000000416</c:v>
                </c:pt>
                <c:pt idx="928">
                  <c:v>43.903900000000419</c:v>
                </c:pt>
                <c:pt idx="929">
                  <c:v>43.904000000000423</c:v>
                </c:pt>
                <c:pt idx="930">
                  <c:v>43.904100000000426</c:v>
                </c:pt>
                <c:pt idx="931">
                  <c:v>43.904200000000429</c:v>
                </c:pt>
                <c:pt idx="932">
                  <c:v>43.904300000000433</c:v>
                </c:pt>
                <c:pt idx="933">
                  <c:v>43.904400000000436</c:v>
                </c:pt>
                <c:pt idx="934">
                  <c:v>43.904500000000439</c:v>
                </c:pt>
                <c:pt idx="935">
                  <c:v>43.904600000000443</c:v>
                </c:pt>
                <c:pt idx="936">
                  <c:v>43.904700000000446</c:v>
                </c:pt>
                <c:pt idx="937">
                  <c:v>43.904800000000449</c:v>
                </c:pt>
                <c:pt idx="938">
                  <c:v>43.904900000000453</c:v>
                </c:pt>
                <c:pt idx="939">
                  <c:v>43.905000000000456</c:v>
                </c:pt>
                <c:pt idx="940">
                  <c:v>43.905100000000459</c:v>
                </c:pt>
                <c:pt idx="941">
                  <c:v>43.905200000000463</c:v>
                </c:pt>
                <c:pt idx="942">
                  <c:v>43.905300000000466</c:v>
                </c:pt>
                <c:pt idx="943">
                  <c:v>43.905400000000469</c:v>
                </c:pt>
                <c:pt idx="944">
                  <c:v>43.905500000000472</c:v>
                </c:pt>
                <c:pt idx="945">
                  <c:v>43.905600000000476</c:v>
                </c:pt>
                <c:pt idx="946">
                  <c:v>43.905700000000479</c:v>
                </c:pt>
                <c:pt idx="947">
                  <c:v>43.905800000000482</c:v>
                </c:pt>
                <c:pt idx="948">
                  <c:v>43.905900000000486</c:v>
                </c:pt>
                <c:pt idx="949">
                  <c:v>43.906000000000489</c:v>
                </c:pt>
                <c:pt idx="950">
                  <c:v>43.906100000000492</c:v>
                </c:pt>
                <c:pt idx="951">
                  <c:v>43.906200000000496</c:v>
                </c:pt>
                <c:pt idx="952">
                  <c:v>43.906300000000499</c:v>
                </c:pt>
                <c:pt idx="953">
                  <c:v>43.906400000000502</c:v>
                </c:pt>
                <c:pt idx="954">
                  <c:v>43.906500000000506</c:v>
                </c:pt>
                <c:pt idx="955">
                  <c:v>43.906600000000509</c:v>
                </c:pt>
                <c:pt idx="956">
                  <c:v>43.906700000000512</c:v>
                </c:pt>
                <c:pt idx="957">
                  <c:v>43.906800000000516</c:v>
                </c:pt>
                <c:pt idx="958">
                  <c:v>43.906900000000519</c:v>
                </c:pt>
                <c:pt idx="959">
                  <c:v>43.907000000000522</c:v>
                </c:pt>
                <c:pt idx="960">
                  <c:v>43.907100000000526</c:v>
                </c:pt>
                <c:pt idx="961">
                  <c:v>43.907200000000529</c:v>
                </c:pt>
                <c:pt idx="962">
                  <c:v>43.907300000000532</c:v>
                </c:pt>
                <c:pt idx="963">
                  <c:v>43.907400000000536</c:v>
                </c:pt>
                <c:pt idx="964">
                  <c:v>43.907500000000539</c:v>
                </c:pt>
                <c:pt idx="965">
                  <c:v>43.907600000000542</c:v>
                </c:pt>
                <c:pt idx="966">
                  <c:v>43.907700000000546</c:v>
                </c:pt>
                <c:pt idx="967">
                  <c:v>43.907800000000549</c:v>
                </c:pt>
                <c:pt idx="968">
                  <c:v>43.907900000000552</c:v>
                </c:pt>
                <c:pt idx="969">
                  <c:v>43.908000000000555</c:v>
                </c:pt>
                <c:pt idx="970">
                  <c:v>43.908100000000559</c:v>
                </c:pt>
                <c:pt idx="971">
                  <c:v>43.908200000000562</c:v>
                </c:pt>
                <c:pt idx="972">
                  <c:v>43.908300000000565</c:v>
                </c:pt>
                <c:pt idx="973">
                  <c:v>43.908400000000569</c:v>
                </c:pt>
                <c:pt idx="974">
                  <c:v>43.908500000000572</c:v>
                </c:pt>
                <c:pt idx="975">
                  <c:v>43.908600000000575</c:v>
                </c:pt>
                <c:pt idx="976">
                  <c:v>43.908700000000579</c:v>
                </c:pt>
                <c:pt idx="977">
                  <c:v>43.908800000000582</c:v>
                </c:pt>
                <c:pt idx="978">
                  <c:v>43.908900000000585</c:v>
                </c:pt>
                <c:pt idx="979">
                  <c:v>43.909000000000589</c:v>
                </c:pt>
                <c:pt idx="980">
                  <c:v>43.909100000000592</c:v>
                </c:pt>
                <c:pt idx="981">
                  <c:v>43.909200000000595</c:v>
                </c:pt>
                <c:pt idx="982">
                  <c:v>43.909300000000599</c:v>
                </c:pt>
                <c:pt idx="983">
                  <c:v>43.909400000000602</c:v>
                </c:pt>
                <c:pt idx="984">
                  <c:v>43.909500000000605</c:v>
                </c:pt>
                <c:pt idx="985">
                  <c:v>43.909600000000609</c:v>
                </c:pt>
                <c:pt idx="986">
                  <c:v>43.909700000000612</c:v>
                </c:pt>
                <c:pt idx="987">
                  <c:v>43.909800000000615</c:v>
                </c:pt>
                <c:pt idx="988">
                  <c:v>43.909900000000619</c:v>
                </c:pt>
                <c:pt idx="989">
                  <c:v>43.910000000000622</c:v>
                </c:pt>
                <c:pt idx="990">
                  <c:v>43.910100000000625</c:v>
                </c:pt>
                <c:pt idx="991">
                  <c:v>43.910200000000629</c:v>
                </c:pt>
                <c:pt idx="992">
                  <c:v>43.910300000000632</c:v>
                </c:pt>
                <c:pt idx="993">
                  <c:v>43.910400000000635</c:v>
                </c:pt>
                <c:pt idx="994">
                  <c:v>43.910500000000638</c:v>
                </c:pt>
                <c:pt idx="995">
                  <c:v>43.910600000000642</c:v>
                </c:pt>
                <c:pt idx="996">
                  <c:v>43.910700000000645</c:v>
                </c:pt>
                <c:pt idx="997">
                  <c:v>43.910800000000648</c:v>
                </c:pt>
                <c:pt idx="998">
                  <c:v>43.910900000000652</c:v>
                </c:pt>
                <c:pt idx="999">
                  <c:v>43.911000000000655</c:v>
                </c:pt>
                <c:pt idx="1000">
                  <c:v>43.911100000000658</c:v>
                </c:pt>
              </c:numCache>
            </c:numRef>
          </c:xVal>
          <c:yVal>
            <c:numRef>
              <c:f>Calculs!$AG$4:$AG$1004</c:f>
              <c:numCache>
                <c:formatCode>0.00</c:formatCode>
                <c:ptCount val="1001"/>
                <c:pt idx="0">
                  <c:v>0</c:v>
                </c:pt>
                <c:pt idx="1">
                  <c:v>5.3720239708251434</c:v>
                </c:pt>
                <c:pt idx="2">
                  <c:v>21.956650848780363</c:v>
                </c:pt>
                <c:pt idx="3">
                  <c:v>28.839417421854819</c:v>
                </c:pt>
                <c:pt idx="4">
                  <c:v>35.726370004421476</c:v>
                </c:pt>
                <c:pt idx="5">
                  <c:v>42.618200154923613</c:v>
                </c:pt>
                <c:pt idx="6">
                  <c:v>49.515595512848009</c:v>
                </c:pt>
                <c:pt idx="7">
                  <c:v>56.41924001290095</c:v>
                </c:pt>
                <c:pt idx="8">
                  <c:v>63.329814094935621</c:v>
                </c:pt>
                <c:pt idx="9">
                  <c:v>70.247994909801264</c:v>
                </c:pt>
                <c:pt idx="10">
                  <c:v>77.174456521279041</c:v>
                </c:pt>
                <c:pt idx="11">
                  <c:v>80.150922592685873</c:v>
                </c:pt>
                <c:pt idx="12">
                  <c:v>79.17044876194521</c:v>
                </c:pt>
                <c:pt idx="13">
                  <c:v>78.158282660583524</c:v>
                </c:pt>
                <c:pt idx="14">
                  <c:v>77.114395338577197</c:v>
                </c:pt>
                <c:pt idx="15">
                  <c:v>76.068927032933175</c:v>
                </c:pt>
                <c:pt idx="16">
                  <c:v>75.021902260903829</c:v>
                </c:pt>
                <c:pt idx="17">
                  <c:v>73.973345521763719</c:v>
                </c:pt>
                <c:pt idx="18">
                  <c:v>72.923281294348513</c:v>
                </c:pt>
                <c:pt idx="19">
                  <c:v>71.871734034606817</c:v>
                </c:pt>
                <c:pt idx="20">
                  <c:v>70.818728173165994</c:v>
                </c:pt>
                <c:pt idx="21">
                  <c:v>69.764288112911856</c:v>
                </c:pt>
                <c:pt idx="22">
                  <c:v>68.708438226582672</c:v>
                </c:pt>
                <c:pt idx="23">
                  <c:v>67.651202854378454</c:v>
                </c:pt>
                <c:pt idx="24">
                  <c:v>66.592606301584496</c:v>
                </c:pt>
                <c:pt idx="25">
                  <c:v>65.532672836211404</c:v>
                </c:pt>
                <c:pt idx="26">
                  <c:v>64.471426686650233</c:v>
                </c:pt>
                <c:pt idx="27">
                  <c:v>63.940139773258345</c:v>
                </c:pt>
                <c:pt idx="28">
                  <c:v>63.939572250241319</c:v>
                </c:pt>
                <c:pt idx="29">
                  <c:v>63.938834043127166</c:v>
                </c:pt>
                <c:pt idx="30">
                  <c:v>63.937924995944634</c:v>
                </c:pt>
                <c:pt idx="31">
                  <c:v>63.936844954962645</c:v>
                </c:pt>
                <c:pt idx="32">
                  <c:v>63.935593768695902</c:v>
                </c:pt>
                <c:pt idx="33">
                  <c:v>63.934171287910495</c:v>
                </c:pt>
                <c:pt idx="34">
                  <c:v>63.932577365629491</c:v>
                </c:pt>
                <c:pt idx="35">
                  <c:v>63.930811857138345</c:v>
                </c:pt>
                <c:pt idx="36">
                  <c:v>63.928874619990388</c:v>
                </c:pt>
                <c:pt idx="37">
                  <c:v>63.926765514012253</c:v>
                </c:pt>
                <c:pt idx="38">
                  <c:v>63.924484401308938</c:v>
                </c:pt>
                <c:pt idx="39">
                  <c:v>63.923238288874373</c:v>
                </c:pt>
                <c:pt idx="40">
                  <c:v>63.921813645977039</c:v>
                </c:pt>
                <c:pt idx="41">
                  <c:v>63.920195034153437</c:v>
                </c:pt>
                <c:pt idx="42">
                  <c:v>63.918383224668666</c:v>
                </c:pt>
                <c:pt idx="43">
                  <c:v>63.91637893176302</c:v>
                </c:pt>
                <c:pt idx="44">
                  <c:v>63.914182817865878</c:v>
                </c:pt>
                <c:pt idx="45">
                  <c:v>63.911795498242384</c:v>
                </c:pt>
                <c:pt idx="46">
                  <c:v>63.9092175451458</c:v>
                </c:pt>
                <c:pt idx="47">
                  <c:v>63.906449491538154</c:v>
                </c:pt>
                <c:pt idx="48">
                  <c:v>63.90349183443233</c:v>
                </c:pt>
                <c:pt idx="49">
                  <c:v>63.90034503790163</c:v>
                </c:pt>
                <c:pt idx="50">
                  <c:v>63.897009535795675</c:v>
                </c:pt>
                <c:pt idx="51">
                  <c:v>63.893485734197178</c:v>
                </c:pt>
                <c:pt idx="52">
                  <c:v>63.889774013648776</c:v>
                </c:pt>
                <c:pt idx="53">
                  <c:v>63.885874731175605</c:v>
                </c:pt>
                <c:pt idx="54">
                  <c:v>63.881788222125813</c:v>
                </c:pt>
                <c:pt idx="55">
                  <c:v>63.877514801848832</c:v>
                </c:pt>
                <c:pt idx="56">
                  <c:v>63.873054767228084</c:v>
                </c:pt>
                <c:pt idx="57">
                  <c:v>63.868408398083382</c:v>
                </c:pt>
                <c:pt idx="58">
                  <c:v>63.863575958456394</c:v>
                </c:pt>
                <c:pt idx="59">
                  <c:v>63.858557697790374</c:v>
                </c:pt>
                <c:pt idx="60">
                  <c:v>63.853353852014919</c:v>
                </c:pt>
                <c:pt idx="61">
                  <c:v>63.847964644544923</c:v>
                </c:pt>
                <c:pt idx="62">
                  <c:v>63.842390287201283</c:v>
                </c:pt>
                <c:pt idx="63">
                  <c:v>63.836630981061482</c:v>
                </c:pt>
                <c:pt idx="64">
                  <c:v>63.830686917245785</c:v>
                </c:pt>
                <c:pt idx="65">
                  <c:v>63.824558277645252</c:v>
                </c:pt>
                <c:pt idx="66">
                  <c:v>63.818245235596407</c:v>
                </c:pt>
                <c:pt idx="67">
                  <c:v>63.811747956507659</c:v>
                </c:pt>
                <c:pt idx="68">
                  <c:v>63.805066598441179</c:v>
                </c:pt>
                <c:pt idx="69">
                  <c:v>63.798201312654214</c:v>
                </c:pt>
                <c:pt idx="70">
                  <c:v>63.791152244103401</c:v>
                </c:pt>
                <c:pt idx="71">
                  <c:v>63.783919531914684</c:v>
                </c:pt>
                <c:pt idx="72">
                  <c:v>63.770448072979192</c:v>
                </c:pt>
                <c:pt idx="73">
                  <c:v>63.750730162565013</c:v>
                </c:pt>
                <c:pt idx="74">
                  <c:v>63.730817865204017</c:v>
                </c:pt>
                <c:pt idx="75">
                  <c:v>63.710711393388564</c:v>
                </c:pt>
                <c:pt idx="76">
                  <c:v>63.690410955821648</c:v>
                </c:pt>
                <c:pt idx="77">
                  <c:v>63.669916757737539</c:v>
                </c:pt>
                <c:pt idx="78">
                  <c:v>63.649229001202343</c:v>
                </c:pt>
                <c:pt idx="79">
                  <c:v>63.628347885396224</c:v>
                </c:pt>
                <c:pt idx="80">
                  <c:v>63.607273606878145</c:v>
                </c:pt>
                <c:pt idx="81">
                  <c:v>63.586006359834997</c:v>
                </c:pt>
                <c:pt idx="82">
                  <c:v>63.564546336315622</c:v>
                </c:pt>
                <c:pt idx="83">
                  <c:v>63.542893726451339</c:v>
                </c:pt>
                <c:pt idx="84">
                  <c:v>63.521048718663408</c:v>
                </c:pt>
                <c:pt idx="85">
                  <c:v>63.499011499858696</c:v>
                </c:pt>
                <c:pt idx="86">
                  <c:v>63.476782255614303</c:v>
                </c:pt>
                <c:pt idx="87">
                  <c:v>63.454361170351632</c:v>
                </c:pt>
                <c:pt idx="88">
                  <c:v>63.431748427500807</c:v>
                </c:pt>
                <c:pt idx="89">
                  <c:v>63.408944209656127</c:v>
                </c:pt>
                <c:pt idx="90">
                  <c:v>63.385948698722906</c:v>
                </c:pt>
                <c:pt idx="91">
                  <c:v>63.362762076056526</c:v>
                </c:pt>
                <c:pt idx="92">
                  <c:v>63.339384522593889</c:v>
                </c:pt>
                <c:pt idx="93">
                  <c:v>63.315816218978014</c:v>
                </c:pt>
                <c:pt idx="94">
                  <c:v>63.292057345675985</c:v>
                </c:pt>
                <c:pt idx="95">
                  <c:v>63.268108083090887</c:v>
                </c:pt>
                <c:pt idx="96">
                  <c:v>63.243968611667839</c:v>
                </c:pt>
                <c:pt idx="97">
                  <c:v>63.21963911199461</c:v>
                </c:pt>
                <c:pt idx="98">
                  <c:v>63.195119764897179</c:v>
                </c:pt>
                <c:pt idx="99">
                  <c:v>63.170410751530362</c:v>
                </c:pt>
                <c:pt idx="100">
                  <c:v>63.145512253464105</c:v>
                </c:pt>
                <c:pt idx="101">
                  <c:v>63.120424452765199</c:v>
                </c:pt>
                <c:pt idx="102">
                  <c:v>63.095147532075202</c:v>
                </c:pt>
                <c:pt idx="103">
                  <c:v>63.069681674684404</c:v>
                </c:pt>
                <c:pt idx="104">
                  <c:v>63.044027064602261</c:v>
                </c:pt>
                <c:pt idx="105">
                  <c:v>63.018183886624286</c:v>
                </c:pt>
                <c:pt idx="106">
                  <c:v>62.992152326395882</c:v>
                </c:pt>
                <c:pt idx="107">
                  <c:v>62.965932570472972</c:v>
                </c:pt>
                <c:pt idx="108">
                  <c:v>62.939524806379829</c:v>
                </c:pt>
                <c:pt idx="109">
                  <c:v>62.912929222664097</c:v>
                </c:pt>
                <c:pt idx="110">
                  <c:v>62.88614600894924</c:v>
                </c:pt>
                <c:pt idx="111">
                  <c:v>62.859175355984412</c:v>
                </c:pt>
                <c:pt idx="112">
                  <c:v>62.83201745569221</c:v>
                </c:pt>
                <c:pt idx="113">
                  <c:v>62.804672501213972</c:v>
                </c:pt>
                <c:pt idx="114">
                  <c:v>62.777140686952968</c:v>
                </c:pt>
                <c:pt idx="115">
                  <c:v>62.749422208615783</c:v>
                </c:pt>
                <c:pt idx="116">
                  <c:v>62.721517263251499</c:v>
                </c:pt>
                <c:pt idx="117">
                  <c:v>62.693426049289229</c:v>
                </c:pt>
                <c:pt idx="118">
                  <c:v>62.665148766573907</c:v>
                </c:pt>
                <c:pt idx="119">
                  <c:v>62.63668561640025</c:v>
                </c:pt>
                <c:pt idx="120">
                  <c:v>62.608036801545332</c:v>
                </c:pt>
                <c:pt idx="121">
                  <c:v>62.579202526299554</c:v>
                </c:pt>
                <c:pt idx="122">
                  <c:v>62.550182996496162</c:v>
                </c:pt>
                <c:pt idx="123">
                  <c:v>62.520978419539432</c:v>
                </c:pt>
                <c:pt idx="124">
                  <c:v>62.49158900443139</c:v>
                </c:pt>
                <c:pt idx="125">
                  <c:v>62.462014961797607</c:v>
                </c:pt>
                <c:pt idx="126">
                  <c:v>62.432256503911333</c:v>
                </c:pt>
                <c:pt idx="127">
                  <c:v>62.402313844716872</c:v>
                </c:pt>
                <c:pt idx="128">
                  <c:v>62.372187199851624</c:v>
                </c:pt>
                <c:pt idx="129">
                  <c:v>62.314047006996624</c:v>
                </c:pt>
                <c:pt idx="130">
                  <c:v>62.227862135924497</c:v>
                </c:pt>
                <c:pt idx="131">
                  <c:v>62.141451967445441</c:v>
                </c:pt>
                <c:pt idx="132">
                  <c:v>62.054817219088221</c:v>
                </c:pt>
                <c:pt idx="133">
                  <c:v>61.967958610388294</c:v>
                </c:pt>
                <c:pt idx="134">
                  <c:v>61.880876862891597</c:v>
                </c:pt>
                <c:pt idx="135">
                  <c:v>61.793572700157391</c:v>
                </c:pt>
                <c:pt idx="136">
                  <c:v>61.70604684775995</c:v>
                </c:pt>
                <c:pt idx="137">
                  <c:v>61.618300033289508</c:v>
                </c:pt>
                <c:pt idx="138">
                  <c:v>61.530332986352114</c:v>
                </c:pt>
                <c:pt idx="139">
                  <c:v>61.442146438568678</c:v>
                </c:pt>
                <c:pt idx="140">
                  <c:v>61.353741123573194</c:v>
                </c:pt>
                <c:pt idx="141">
                  <c:v>61.265117777010168</c:v>
                </c:pt>
                <c:pt idx="142">
                  <c:v>61.176277136531219</c:v>
                </c:pt>
                <c:pt idx="143">
                  <c:v>61.087219941790941</c:v>
                </c:pt>
                <c:pt idx="144">
                  <c:v>60.997946934442183</c:v>
                </c:pt>
                <c:pt idx="145">
                  <c:v>60.908458858130444</c:v>
                </c:pt>
                <c:pt idx="146">
                  <c:v>60.818756458487783</c:v>
                </c:pt>
                <c:pt idx="147">
                  <c:v>60.728840483126007</c:v>
                </c:pt>
                <c:pt idx="148">
                  <c:v>60.638711681629232</c:v>
                </c:pt>
                <c:pt idx="149">
                  <c:v>60.548370805546043</c:v>
                </c:pt>
                <c:pt idx="150">
                  <c:v>60.457818608380833</c:v>
                </c:pt>
                <c:pt idx="151">
                  <c:v>60.367055845584773</c:v>
                </c:pt>
                <c:pt idx="152">
                  <c:v>60.276083274546238</c:v>
                </c:pt>
                <c:pt idx="153">
                  <c:v>60.184901654580742</c:v>
                </c:pt>
                <c:pt idx="154">
                  <c:v>60.093511746920342</c:v>
                </c:pt>
                <c:pt idx="155">
                  <c:v>60.001914314702582</c:v>
                </c:pt>
                <c:pt idx="156">
                  <c:v>59.910110122959104</c:v>
                </c:pt>
                <c:pt idx="157">
                  <c:v>59.818099938603702</c:v>
                </c:pt>
                <c:pt idx="158">
                  <c:v>59.725884530420046</c:v>
                </c:pt>
                <c:pt idx="159">
                  <c:v>59.633464669048927</c:v>
                </c:pt>
                <c:pt idx="160">
                  <c:v>59.540841126975202</c:v>
                </c:pt>
                <c:pt idx="161">
                  <c:v>59.448014678514383</c:v>
                </c:pt>
                <c:pt idx="162">
                  <c:v>59.354986099798737</c:v>
                </c:pt>
                <c:pt idx="163">
                  <c:v>59.261756168763213</c:v>
                </c:pt>
                <c:pt idx="164">
                  <c:v>59.168325665130936</c:v>
                </c:pt>
                <c:pt idx="165">
                  <c:v>59.074695370398388</c:v>
                </c:pt>
                <c:pt idx="166">
                  <c:v>58.980866067820337</c:v>
                </c:pt>
                <c:pt idx="167">
                  <c:v>58.886838542394443</c:v>
                </c:pt>
                <c:pt idx="168">
                  <c:v>58.792613580845519</c:v>
                </c:pt>
                <c:pt idx="169">
                  <c:v>58.698191971609646</c:v>
                </c:pt>
                <c:pt idx="170">
                  <c:v>58.603574504817885</c:v>
                </c:pt>
                <c:pt idx="171">
                  <c:v>58.508761972279849</c:v>
                </c:pt>
                <c:pt idx="172">
                  <c:v>58.413755167466988</c:v>
                </c:pt>
                <c:pt idx="173">
                  <c:v>58.31855488549553</c:v>
                </c:pt>
                <c:pt idx="174">
                  <c:v>58.22316192310938</c:v>
                </c:pt>
                <c:pt idx="175">
                  <c:v>58.127577078662746</c:v>
                </c:pt>
                <c:pt idx="176">
                  <c:v>58.031801152102403</c:v>
                </c:pt>
                <c:pt idx="177">
                  <c:v>57.935834944949917</c:v>
                </c:pt>
                <c:pt idx="178">
                  <c:v>57.839679260283638</c:v>
                </c:pt>
                <c:pt idx="179">
                  <c:v>57.743334902720456</c:v>
                </c:pt>
                <c:pt idx="180">
                  <c:v>57.646802678397407</c:v>
                </c:pt>
                <c:pt idx="181">
                  <c:v>57.550083394953099</c:v>
                </c:pt>
                <c:pt idx="182">
                  <c:v>57.453177861508991</c:v>
                </c:pt>
                <c:pt idx="183">
                  <c:v>57.356086888650402</c:v>
                </c:pt>
                <c:pt idx="184">
                  <c:v>57.258811288407529</c:v>
                </c:pt>
                <c:pt idx="185">
                  <c:v>57.161351874236161</c:v>
                </c:pt>
                <c:pt idx="186">
                  <c:v>57.063709460998375</c:v>
                </c:pt>
                <c:pt idx="187">
                  <c:v>56.965884864942936</c:v>
                </c:pt>
                <c:pt idx="188">
                  <c:v>56.867878903685728</c:v>
                </c:pt>
                <c:pt idx="189">
                  <c:v>56.769692396189946</c:v>
                </c:pt>
                <c:pt idx="190">
                  <c:v>56.671326162746212</c:v>
                </c:pt>
                <c:pt idx="191">
                  <c:v>56.572781024952526</c:v>
                </c:pt>
                <c:pt idx="192">
                  <c:v>56.474057805694166</c:v>
                </c:pt>
                <c:pt idx="193">
                  <c:v>56.375157329123368</c:v>
                </c:pt>
                <c:pt idx="194">
                  <c:v>56.276080420639133</c:v>
                </c:pt>
                <c:pt idx="195">
                  <c:v>56.176827906866528</c:v>
                </c:pt>
                <c:pt idx="196">
                  <c:v>56.077400615636357</c:v>
                </c:pt>
                <c:pt idx="197">
                  <c:v>55.977799375964402</c:v>
                </c:pt>
                <c:pt idx="198">
                  <c:v>55.878025018030691</c:v>
                </c:pt>
                <c:pt idx="199">
                  <c:v>55.778078373158714</c:v>
                </c:pt>
                <c:pt idx="200">
                  <c:v>55.677960273794483</c:v>
                </c:pt>
                <c:pt idx="201">
                  <c:v>55.577671553485587</c:v>
                </c:pt>
                <c:pt idx="202">
                  <c:v>55.477213046860086</c:v>
                </c:pt>
                <c:pt idx="203">
                  <c:v>55.376585589605455</c:v>
                </c:pt>
                <c:pt idx="204">
                  <c:v>55.275790018447303</c:v>
                </c:pt>
                <c:pt idx="205">
                  <c:v>55.1748271711282</c:v>
                </c:pt>
                <c:pt idx="206">
                  <c:v>55.066939071072596</c:v>
                </c:pt>
                <c:pt idx="207">
                  <c:v>54.952121059348812</c:v>
                </c:pt>
                <c:pt idx="208">
                  <c:v>54.837131970389812</c:v>
                </c:pt>
                <c:pt idx="209">
                  <c:v>54.721972775524733</c:v>
                </c:pt>
                <c:pt idx="210">
                  <c:v>54.606644446782113</c:v>
                </c:pt>
                <c:pt idx="211">
                  <c:v>54.491147956864118</c:v>
                </c:pt>
                <c:pt idx="212">
                  <c:v>54.375484279120663</c:v>
                </c:pt>
                <c:pt idx="213">
                  <c:v>54.259654387523618</c:v>
                </c:pt>
                <c:pt idx="214">
                  <c:v>54.143659256640859</c:v>
                </c:pt>
                <c:pt idx="215">
                  <c:v>54.027499861610416</c:v>
                </c:pt>
                <c:pt idx="216">
                  <c:v>53.911177178114542</c:v>
                </c:pt>
                <c:pt idx="217">
                  <c:v>53.794692182353842</c:v>
                </c:pt>
                <c:pt idx="218">
                  <c:v>53.678045851021309</c:v>
                </c:pt>
                <c:pt idx="219">
                  <c:v>53.561239161276376</c:v>
                </c:pt>
                <c:pt idx="220">
                  <c:v>53.444273090719108</c:v>
                </c:pt>
                <c:pt idx="221">
                  <c:v>53.327148617364124</c:v>
                </c:pt>
                <c:pt idx="222">
                  <c:v>53.209866719614794</c:v>
                </c:pt>
                <c:pt idx="223">
                  <c:v>53.092428376237251</c:v>
                </c:pt>
                <c:pt idx="224">
                  <c:v>52.974834566334543</c:v>
                </c:pt>
                <c:pt idx="225">
                  <c:v>52.85708626932071</c:v>
                </c:pt>
                <c:pt idx="226">
                  <c:v>52.739184464894919</c:v>
                </c:pt>
                <c:pt idx="227">
                  <c:v>52.62113013301564</c:v>
                </c:pt>
                <c:pt idx="228">
                  <c:v>52.502924253874738</c:v>
                </c:pt>
                <c:pt idx="229">
                  <c:v>52.384567807871704</c:v>
                </c:pt>
                <c:pt idx="230">
                  <c:v>52.266061775587872</c:v>
                </c:pt>
                <c:pt idx="231">
                  <c:v>52.147407137760624</c:v>
                </c:pt>
                <c:pt idx="232">
                  <c:v>52.028604875257699</c:v>
                </c:pt>
                <c:pt idx="233">
                  <c:v>51.909655969051414</c:v>
                </c:pt>
                <c:pt idx="234">
                  <c:v>51.79056140019307</c:v>
                </c:pt>
                <c:pt idx="235">
                  <c:v>51.671322149787308</c:v>
                </c:pt>
                <c:pt idx="236">
                  <c:v>51.551939198966451</c:v>
                </c:pt>
                <c:pt idx="237">
                  <c:v>51.43241352886502</c:v>
                </c:pt>
                <c:pt idx="238">
                  <c:v>51.31274612059417</c:v>
                </c:pt>
                <c:pt idx="239">
                  <c:v>51.19293795521623</c:v>
                </c:pt>
                <c:pt idx="240">
                  <c:v>51.072990013719298</c:v>
                </c:pt>
                <c:pt idx="241">
                  <c:v>50.952903276991833</c:v>
                </c:pt>
                <c:pt idx="242">
                  <c:v>50.8093461584794</c:v>
                </c:pt>
                <c:pt idx="243">
                  <c:v>50.642304241788594</c:v>
                </c:pt>
                <c:pt idx="244">
                  <c:v>50.475111092927847</c:v>
                </c:pt>
                <c:pt idx="245">
                  <c:v>50.307768165044635</c:v>
                </c:pt>
                <c:pt idx="246">
                  <c:v>50.140276909741864</c:v>
                </c:pt>
                <c:pt idx="247">
                  <c:v>49.972638777037652</c:v>
                </c:pt>
                <c:pt idx="248">
                  <c:v>49.804855215325297</c:v>
                </c:pt>
                <c:pt idx="249">
                  <c:v>49.636927671333318</c:v>
                </c:pt>
                <c:pt idx="250">
                  <c:v>49.46885759008584</c:v>
                </c:pt>
                <c:pt idx="251">
                  <c:v>49.300646414863046</c:v>
                </c:pt>
                <c:pt idx="252">
                  <c:v>49.13229558716192</c:v>
                </c:pt>
                <c:pt idx="253">
                  <c:v>48.963806546657011</c:v>
                </c:pt>
                <c:pt idx="254">
                  <c:v>48.795180731161608</c:v>
                </c:pt>
                <c:pt idx="255">
                  <c:v>48.626419576588958</c:v>
                </c:pt>
                <c:pt idx="256">
                  <c:v>48.457524516913736</c:v>
                </c:pt>
                <c:pt idx="257">
                  <c:v>48.288496984133715</c:v>
                </c:pt>
                <c:pt idx="258">
                  <c:v>48.119338408231613</c:v>
                </c:pt>
                <c:pt idx="259">
                  <c:v>47.950050217137175</c:v>
                </c:pt>
                <c:pt idx="260">
                  <c:v>47.780633836689489</c:v>
                </c:pt>
                <c:pt idx="261">
                  <c:v>47.611090690599369</c:v>
                </c:pt>
                <c:pt idx="262">
                  <c:v>47.441422200412184</c:v>
                </c:pt>
                <c:pt idx="263">
                  <c:v>47.27162978547068</c:v>
                </c:pt>
                <c:pt idx="264">
                  <c:v>47.101714862878119</c:v>
                </c:pt>
                <c:pt idx="265">
                  <c:v>46.931678847461598</c:v>
                </c:pt>
                <c:pt idx="266">
                  <c:v>46.761523151735702</c:v>
                </c:pt>
                <c:pt idx="267">
                  <c:v>46.59124918586614</c:v>
                </c:pt>
                <c:pt idx="268">
                  <c:v>46.420858357633847</c:v>
                </c:pt>
                <c:pt idx="269">
                  <c:v>46.250352072399167</c:v>
                </c:pt>
                <c:pt idx="270">
                  <c:v>46.079731733066296</c:v>
                </c:pt>
                <c:pt idx="271">
                  <c:v>45.908998740047963</c:v>
                </c:pt>
                <c:pt idx="272">
                  <c:v>45.738154491230326</c:v>
                </c:pt>
                <c:pt idx="273">
                  <c:v>45.567200381938072</c:v>
                </c:pt>
                <c:pt idx="274">
                  <c:v>45.396137804899823</c:v>
                </c:pt>
                <c:pt idx="275">
                  <c:v>45.224968150213705</c:v>
                </c:pt>
                <c:pt idx="276">
                  <c:v>45.05369280531314</c:v>
                </c:pt>
                <c:pt idx="277">
                  <c:v>44.882313154932945</c:v>
                </c:pt>
                <c:pt idx="278">
                  <c:v>44.710830581075612</c:v>
                </c:pt>
                <c:pt idx="279">
                  <c:v>44.539246462977815</c:v>
                </c:pt>
                <c:pt idx="280">
                  <c:v>44.367562177077225</c:v>
                </c:pt>
                <c:pt idx="281">
                  <c:v>44.195779096979486</c:v>
                </c:pt>
                <c:pt idx="282">
                  <c:v>44.023898593425429</c:v>
                </c:pt>
                <c:pt idx="283">
                  <c:v>43.851922034258649</c:v>
                </c:pt>
                <c:pt idx="284">
                  <c:v>43.707202341509259</c:v>
                </c:pt>
                <c:pt idx="285">
                  <c:v>43.589753158520708</c:v>
                </c:pt>
                <c:pt idx="286">
                  <c:v>43.472220120613187</c:v>
                </c:pt>
                <c:pt idx="287">
                  <c:v>43.354604077741463</c:v>
                </c:pt>
                <c:pt idx="288">
                  <c:v>43.236905878713578</c:v>
                </c:pt>
                <c:pt idx="289">
                  <c:v>43.119126371172925</c:v>
                </c:pt>
                <c:pt idx="290">
                  <c:v>43.001266401580352</c:v>
                </c:pt>
                <c:pt idx="291">
                  <c:v>42.883326815196341</c:v>
                </c:pt>
                <c:pt idx="292">
                  <c:v>42.765308456063373</c:v>
                </c:pt>
                <c:pt idx="293">
                  <c:v>42.647212166988346</c:v>
                </c:pt>
                <c:pt idx="294">
                  <c:v>42.529038789525096</c:v>
                </c:pt>
                <c:pt idx="295">
                  <c:v>42.410789163956956</c:v>
                </c:pt>
                <c:pt idx="296">
                  <c:v>42.292464129279551</c:v>
                </c:pt>
                <c:pt idx="297">
                  <c:v>42.174064523183581</c:v>
                </c:pt>
                <c:pt idx="298">
                  <c:v>42.055591182037716</c:v>
                </c:pt>
                <c:pt idx="299">
                  <c:v>41.937044940871651</c:v>
                </c:pt>
                <c:pt idx="300">
                  <c:v>41.81842663335923</c:v>
                </c:pt>
                <c:pt idx="301">
                  <c:v>41.699737091801637</c:v>
                </c:pt>
                <c:pt idx="302">
                  <c:v>41.580977147110737</c:v>
                </c:pt>
                <c:pt idx="303">
                  <c:v>41.462147628792579</c:v>
                </c:pt>
                <c:pt idx="304">
                  <c:v>41.343249364930792</c:v>
                </c:pt>
                <c:pt idx="305">
                  <c:v>41.224283182170339</c:v>
                </c:pt>
                <c:pt idx="306">
                  <c:v>41.105249905701235</c:v>
                </c:pt>
                <c:pt idx="307">
                  <c:v>40.98615035924238</c:v>
                </c:pt>
                <c:pt idx="308">
                  <c:v>40.866985365025513</c:v>
                </c:pt>
                <c:pt idx="309">
                  <c:v>40.747755743779322</c:v>
                </c:pt>
                <c:pt idx="310">
                  <c:v>40.628462314713545</c:v>
                </c:pt>
                <c:pt idx="311">
                  <c:v>40.509105895503353</c:v>
                </c:pt>
                <c:pt idx="312">
                  <c:v>40.389687302273565</c:v>
                </c:pt>
                <c:pt idx="313">
                  <c:v>40.270207349583345</c:v>
                </c:pt>
                <c:pt idx="314">
                  <c:v>40.150666850410644</c:v>
                </c:pt>
                <c:pt idx="315">
                  <c:v>40.031066616136989</c:v>
                </c:pt>
                <c:pt idx="316">
                  <c:v>39.911407456532288</c:v>
                </c:pt>
                <c:pt idx="317">
                  <c:v>39.79169017973976</c:v>
                </c:pt>
                <c:pt idx="318">
                  <c:v>39.671915592260916</c:v>
                </c:pt>
                <c:pt idx="319">
                  <c:v>39.552084498940843</c:v>
                </c:pt>
                <c:pt idx="320">
                  <c:v>39.432197702953317</c:v>
                </c:pt>
                <c:pt idx="321">
                  <c:v>39.312256005786267</c:v>
                </c:pt>
                <c:pt idx="322">
                  <c:v>39.192260207227214</c:v>
                </c:pt>
                <c:pt idx="323">
                  <c:v>39.072211105348842</c:v>
                </c:pt>
                <c:pt idx="324">
                  <c:v>38.952109496494785</c:v>
                </c:pt>
                <c:pt idx="325">
                  <c:v>38.831956175265368</c:v>
                </c:pt>
                <c:pt idx="326">
                  <c:v>38.713429598465723</c:v>
                </c:pt>
                <c:pt idx="327">
                  <c:v>38.596531048214707</c:v>
                </c:pt>
                <c:pt idx="328">
                  <c:v>38.479583196551161</c:v>
                </c:pt>
                <c:pt idx="329">
                  <c:v>38.362586804892416</c:v>
                </c:pt>
                <c:pt idx="330">
                  <c:v>38.245542632952628</c:v>
                </c:pt>
                <c:pt idx="331">
                  <c:v>38.128451438729712</c:v>
                </c:pt>
                <c:pt idx="332">
                  <c:v>38.011313978492467</c:v>
                </c:pt>
                <c:pt idx="333">
                  <c:v>37.894131006767758</c:v>
                </c:pt>
                <c:pt idx="334">
                  <c:v>37.776903276327822</c:v>
                </c:pt>
                <c:pt idx="335">
                  <c:v>37.659631538177671</c:v>
                </c:pt>
                <c:pt idx="336">
                  <c:v>37.542316541542682</c:v>
                </c:pt>
                <c:pt idx="337">
                  <c:v>37.424959033856091</c:v>
                </c:pt>
                <c:pt idx="338">
                  <c:v>37.307559760746848</c:v>
                </c:pt>
                <c:pt idx="339">
                  <c:v>37.190119466027362</c:v>
                </c:pt>
                <c:pt idx="340">
                  <c:v>37.0726388916815</c:v>
                </c:pt>
                <c:pt idx="341">
                  <c:v>36.955118777852668</c:v>
                </c:pt>
                <c:pt idx="342">
                  <c:v>36.837559862831924</c:v>
                </c:pt>
                <c:pt idx="343">
                  <c:v>36.719962883046229</c:v>
                </c:pt>
                <c:pt idx="344">
                  <c:v>36.60232857304689</c:v>
                </c:pt>
                <c:pt idx="345">
                  <c:v>36.484657665498005</c:v>
                </c:pt>
                <c:pt idx="346">
                  <c:v>36.36695089116504</c:v>
                </c:pt>
                <c:pt idx="347">
                  <c:v>36.249208978903617</c:v>
                </c:pt>
                <c:pt idx="348">
                  <c:v>36.131432655648169</c:v>
                </c:pt>
                <c:pt idx="349">
                  <c:v>36.013622646401046</c:v>
                </c:pt>
                <c:pt idx="350">
                  <c:v>35.895779674221373</c:v>
                </c:pt>
                <c:pt idx="351">
                  <c:v>35.777904460214309</c:v>
                </c:pt>
                <c:pt idx="352">
                  <c:v>35.659997723520192</c:v>
                </c:pt>
                <c:pt idx="353">
                  <c:v>35.54206018130396</c:v>
                </c:pt>
                <c:pt idx="354">
                  <c:v>35.424092548744596</c:v>
                </c:pt>
                <c:pt idx="355">
                  <c:v>35.306095539024675</c:v>
                </c:pt>
                <c:pt idx="356">
                  <c:v>35.188069863320059</c:v>
                </c:pt>
                <c:pt idx="357">
                  <c:v>35.070016230789676</c:v>
                </c:pt>
                <c:pt idx="358">
                  <c:v>34.951935348565392</c:v>
                </c:pt>
                <c:pt idx="359">
                  <c:v>34.833827921742056</c:v>
                </c:pt>
                <c:pt idx="360">
                  <c:v>34.715694653367564</c:v>
                </c:pt>
                <c:pt idx="361">
                  <c:v>34.597536244433151</c:v>
                </c:pt>
                <c:pt idx="362">
                  <c:v>34.479353393863597</c:v>
                </c:pt>
                <c:pt idx="363">
                  <c:v>34.361146798507789</c:v>
                </c:pt>
                <c:pt idx="364">
                  <c:v>34.242917153129163</c:v>
                </c:pt>
                <c:pt idx="365">
                  <c:v>34.124665150396432</c:v>
                </c:pt>
                <c:pt idx="366">
                  <c:v>34.048859440248386</c:v>
                </c:pt>
                <c:pt idx="367">
                  <c:v>34.015507237167434</c:v>
                </c:pt>
                <c:pt idx="368">
                  <c:v>33.982125458687932</c:v>
                </c:pt>
                <c:pt idx="369">
                  <c:v>33.948714294737513</c:v>
                </c:pt>
                <c:pt idx="370">
                  <c:v>33.91527393516477</c:v>
                </c:pt>
                <c:pt idx="371">
                  <c:v>33.881804569736907</c:v>
                </c:pt>
                <c:pt idx="372">
                  <c:v>33.848306388137217</c:v>
                </c:pt>
                <c:pt idx="373">
                  <c:v>33.814779579962803</c:v>
                </c:pt>
                <c:pt idx="374">
                  <c:v>33.78122433472199</c:v>
                </c:pt>
                <c:pt idx="375">
                  <c:v>33.747640841832137</c:v>
                </c:pt>
                <c:pt idx="376">
                  <c:v>33.714029290617049</c:v>
                </c:pt>
                <c:pt idx="377">
                  <c:v>33.680389870304751</c:v>
                </c:pt>
                <c:pt idx="378">
                  <c:v>33.646722770024994</c:v>
                </c:pt>
                <c:pt idx="379">
                  <c:v>33.613028178806957</c:v>
                </c:pt>
                <c:pt idx="380">
                  <c:v>33.579306285576848</c:v>
                </c:pt>
                <c:pt idx="381">
                  <c:v>33.499746241274359</c:v>
                </c:pt>
                <c:pt idx="382">
                  <c:v>33.374342393150954</c:v>
                </c:pt>
                <c:pt idx="383">
                  <c:v>33.248924186853515</c:v>
                </c:pt>
                <c:pt idx="384">
                  <c:v>33.123492345052711</c:v>
                </c:pt>
                <c:pt idx="385">
                  <c:v>32.998047587947717</c:v>
                </c:pt>
                <c:pt idx="386">
                  <c:v>32.872590633257531</c:v>
                </c:pt>
                <c:pt idx="387">
                  <c:v>32.747122196212487</c:v>
                </c:pt>
                <c:pt idx="388">
                  <c:v>32.621642989545904</c:v>
                </c:pt>
                <c:pt idx="389">
                  <c:v>32.496153723485818</c:v>
                </c:pt>
                <c:pt idx="390">
                  <c:v>32.370655105746835</c:v>
                </c:pt>
                <c:pt idx="391">
                  <c:v>32.245147841522126</c:v>
                </c:pt>
                <c:pt idx="392">
                  <c:v>32.11963263347549</c:v>
                </c:pt>
                <c:pt idx="393">
                  <c:v>31.994110181733671</c:v>
                </c:pt>
                <c:pt idx="394">
                  <c:v>31.868581183878639</c:v>
                </c:pt>
                <c:pt idx="395">
                  <c:v>31.743046334940065</c:v>
                </c:pt>
                <c:pt idx="396">
                  <c:v>31.61750632738795</c:v>
                </c:pt>
                <c:pt idx="397">
                  <c:v>31.491961851125268</c:v>
                </c:pt>
                <c:pt idx="398">
                  <c:v>31.366413593480861</c:v>
                </c:pt>
                <c:pt idx="399">
                  <c:v>31.240862239202343</c:v>
                </c:pt>
                <c:pt idx="400">
                  <c:v>31.115308470449186</c:v>
                </c:pt>
                <c:pt idx="401">
                  <c:v>30.953822951386087</c:v>
                </c:pt>
                <c:pt idx="402">
                  <c:v>30.756404431751136</c:v>
                </c:pt>
                <c:pt idx="403">
                  <c:v>30.558999887970209</c:v>
                </c:pt>
                <c:pt idx="404">
                  <c:v>30.361610558889648</c:v>
                </c:pt>
                <c:pt idx="405">
                  <c:v>30.164237677266158</c:v>
                </c:pt>
                <c:pt idx="406">
                  <c:v>29.966882469754523</c:v>
                </c:pt>
                <c:pt idx="407">
                  <c:v>29.769546156895757</c:v>
                </c:pt>
                <c:pt idx="408">
                  <c:v>29.572229953105506</c:v>
                </c:pt>
                <c:pt idx="409">
                  <c:v>29.3749350666628</c:v>
                </c:pt>
                <c:pt idx="410">
                  <c:v>29.177662699699148</c:v>
                </c:pt>
                <c:pt idx="411">
                  <c:v>28.782184203089102</c:v>
                </c:pt>
                <c:pt idx="412">
                  <c:v>28.188501862435068</c:v>
                </c:pt>
                <c:pt idx="413">
                  <c:v>27.594945753406908</c:v>
                </c:pt>
                <c:pt idx="414">
                  <c:v>27.001522822975332</c:v>
                </c:pt>
                <c:pt idx="415">
                  <c:v>26.40823996728173</c:v>
                </c:pt>
                <c:pt idx="416">
                  <c:v>25.815104031500404</c:v>
                </c:pt>
                <c:pt idx="417">
                  <c:v>25.222121809706376</c:v>
                </c:pt>
                <c:pt idx="418">
                  <c:v>24.629300044748511</c:v>
                </c:pt>
                <c:pt idx="419">
                  <c:v>24.036645428128001</c:v>
                </c:pt>
                <c:pt idx="420">
                  <c:v>23.331551595244257</c:v>
                </c:pt>
                <c:pt idx="421">
                  <c:v>22.514040152198437</c:v>
                </c:pt>
                <c:pt idx="422">
                  <c:v>21.696796104110902</c:v>
                </c:pt>
                <c:pt idx="423">
                  <c:v>20.879831118916897</c:v>
                </c:pt>
                <c:pt idx="424">
                  <c:v>20.063156766927108</c:v>
                </c:pt>
                <c:pt idx="425">
                  <c:v>19.246784520556474</c:v>
                </c:pt>
                <c:pt idx="426">
                  <c:v>18.430725754065719</c:v>
                </c:pt>
                <c:pt idx="427">
                  <c:v>17.614991743315315</c:v>
                </c:pt>
                <c:pt idx="428">
                  <c:v>16.799593665532015</c:v>
                </c:pt>
                <c:pt idx="429">
                  <c:v>15.984542599087764</c:v>
                </c:pt>
                <c:pt idx="430">
                  <c:v>15.169849523290926</c:v>
                </c:pt>
                <c:pt idx="431">
                  <c:v>14.355525318189647</c:v>
                </c:pt>
                <c:pt idx="432">
                  <c:v>13.360400713816496</c:v>
                </c:pt>
                <c:pt idx="433">
                  <c:v>12.184549570014189</c:v>
                </c:pt>
                <c:pt idx="434">
                  <c:v>11.009290166160261</c:v>
                </c:pt>
                <c:pt idx="435">
                  <c:v>9.8346439540966966</c:v>
                </c:pt>
                <c:pt idx="436">
                  <c:v>8.6606321772436043</c:v>
                </c:pt>
                <c:pt idx="437">
                  <c:v>7.4872758699895385</c:v>
                </c:pt>
                <c:pt idx="438">
                  <c:v>6.3145958571161334</c:v>
                </c:pt>
                <c:pt idx="439">
                  <c:v>5.142612753256758</c:v>
                </c:pt>
                <c:pt idx="440">
                  <c:v>3.9713469623889424</c:v>
                </c:pt>
                <c:pt idx="441">
                  <c:v>2.8008186773602581</c:v>
                </c:pt>
                <c:pt idx="442">
                  <c:v>1.740972511923859</c:v>
                </c:pt>
                <c:pt idx="443">
                  <c:v>0.79176358808745917</c:v>
                </c:pt>
                <c:pt idx="444">
                  <c:v>-0.1568039819535354</c:v>
                </c:pt>
                <c:pt idx="445">
                  <c:v>-1.1047175764490991</c:v>
                </c:pt>
                <c:pt idx="446">
                  <c:v>-2.0519647135630326</c:v>
                </c:pt>
                <c:pt idx="447">
                  <c:v>-2.9985330514199804</c:v>
                </c:pt>
                <c:pt idx="448">
                  <c:v>-3.9444103881359798</c:v>
                </c:pt>
                <c:pt idx="449">
                  <c:v>-4.8895846618328145</c:v>
                </c:pt>
                <c:pt idx="450">
                  <c:v>-5.8340439506361275</c:v>
                </c:pt>
                <c:pt idx="451">
                  <c:v>-6.7777764726578003</c:v>
                </c:pt>
                <c:pt idx="452">
                  <c:v>-7.720770585962442</c:v>
                </c:pt>
                <c:pt idx="453">
                  <c:v>-8.5057285953693764</c:v>
                </c:pt>
                <c:pt idx="454">
                  <c:v>-9.1327621245358515</c:v>
                </c:pt>
                <c:pt idx="455">
                  <c:v>-9.7592889336812814</c:v>
                </c:pt>
                <c:pt idx="456">
                  <c:v>-10.385304551863994</c:v>
                </c:pt>
                <c:pt idx="457">
                  <c:v>-11.010804568682168</c:v>
                </c:pt>
                <c:pt idx="458">
                  <c:v>-11.635784634136945</c:v>
                </c:pt>
                <c:pt idx="459">
                  <c:v>-12.260240458491827</c:v>
                </c:pt>
                <c:pt idx="460">
                  <c:v>-12.884167812128466</c:v>
                </c:pt>
                <c:pt idx="461">
                  <c:v>-13.366067578550801</c:v>
                </c:pt>
                <c:pt idx="462">
                  <c:v>-13.706058031081817</c:v>
                </c:pt>
                <c:pt idx="463">
                  <c:v>-14.045762061628448</c:v>
                </c:pt>
                <c:pt idx="464">
                  <c:v>-14.385178901876877</c:v>
                </c:pt>
                <c:pt idx="465">
                  <c:v>-14.724307799938053</c:v>
                </c:pt>
                <c:pt idx="466">
                  <c:v>-15.181997386067113</c:v>
                </c:pt>
                <c:pt idx="467">
                  <c:v>-15.758140557078454</c:v>
                </c:pt>
                <c:pt idx="468">
                  <c:v>-17.65725893095378</c:v>
                </c:pt>
                <c:pt idx="469">
                  <c:v>-19.258480734798873</c:v>
                </c:pt>
                <c:pt idx="470">
                  <c:v>-19.23860429631096</c:v>
                </c:pt>
                <c:pt idx="471">
                  <c:v>-19.218770713219836</c:v>
                </c:pt>
                <c:pt idx="472">
                  <c:v>-19.198979860266178</c:v>
                </c:pt>
                <c:pt idx="473">
                  <c:v>-19.17923161264104</c:v>
                </c:pt>
                <c:pt idx="474">
                  <c:v>-19.159525845983815</c:v>
                </c:pt>
                <c:pt idx="475">
                  <c:v>-19.139862436380241</c:v>
                </c:pt>
                <c:pt idx="476">
                  <c:v>-19.120241260360448</c:v>
                </c:pt>
                <c:pt idx="477">
                  <c:v>-19.100662194896941</c:v>
                </c:pt>
                <c:pt idx="478">
                  <c:v>-19.081125117402678</c:v>
                </c:pt>
                <c:pt idx="479">
                  <c:v>-19.061629905729092</c:v>
                </c:pt>
                <c:pt idx="480">
                  <c:v>-19.042176438164134</c:v>
                </c:pt>
                <c:pt idx="481">
                  <c:v>-19.022764593430367</c:v>
                </c:pt>
                <c:pt idx="482">
                  <c:v>-19.003394250683044</c:v>
                </c:pt>
                <c:pt idx="483">
                  <c:v>-18.984065289508166</c:v>
                </c:pt>
                <c:pt idx="484">
                  <c:v>-18.964777589920594</c:v>
                </c:pt>
                <c:pt idx="485">
                  <c:v>-18.945531032362172</c:v>
                </c:pt>
                <c:pt idx="486">
                  <c:v>-18.926325497699793</c:v>
                </c:pt>
                <c:pt idx="487">
                  <c:v>-18.907160867223567</c:v>
                </c:pt>
                <c:pt idx="488">
                  <c:v>-18.888037022644944</c:v>
                </c:pt>
                <c:pt idx="489">
                  <c:v>-18.86895384609484</c:v>
                </c:pt>
                <c:pt idx="490">
                  <c:v>-18.849911220121825</c:v>
                </c:pt>
                <c:pt idx="491">
                  <c:v>-18.83090902769024</c:v>
                </c:pt>
                <c:pt idx="492">
                  <c:v>-18.811947152178394</c:v>
                </c:pt>
                <c:pt idx="493">
                  <c:v>-18.793025477376752</c:v>
                </c:pt>
                <c:pt idx="494">
                  <c:v>-18.774143887486108</c:v>
                </c:pt>
                <c:pt idx="495">
                  <c:v>-18.755302267115781</c:v>
                </c:pt>
                <c:pt idx="496">
                  <c:v>-18.736500501281846</c:v>
                </c:pt>
                <c:pt idx="497">
                  <c:v>-18.717738475405319</c:v>
                </c:pt>
                <c:pt idx="498">
                  <c:v>-18.6990160753104</c:v>
                </c:pt>
                <c:pt idx="499">
                  <c:v>-18.680333187222715</c:v>
                </c:pt>
                <c:pt idx="500">
                  <c:v>-18.661689697767539</c:v>
                </c:pt>
                <c:pt idx="501">
                  <c:v>-18.643085493968073</c:v>
                </c:pt>
                <c:pt idx="502">
                  <c:v>-18.458462717297117</c:v>
                </c:pt>
                <c:pt idx="503">
                  <c:v>-18.277684264579229</c:v>
                </c:pt>
                <c:pt idx="504">
                  <c:v>-18.10064167097882</c:v>
                </c:pt>
                <c:pt idx="505">
                  <c:v>-17.927230179842169</c:v>
                </c:pt>
                <c:pt idx="506">
                  <c:v>-17.757348584896253</c:v>
                </c:pt>
                <c:pt idx="507">
                  <c:v>-17.590899080027945</c:v>
                </c:pt>
                <c:pt idx="508">
                  <c:v>-17.427787116217843</c:v>
                </c:pt>
                <c:pt idx="509">
                  <c:v>-17.267921265229376</c:v>
                </c:pt>
                <c:pt idx="510">
                  <c:v>-17.11121308967796</c:v>
                </c:pt>
                <c:pt idx="511">
                  <c:v>-16.957577019128195</c:v>
                </c:pt>
                <c:pt idx="512">
                  <c:v>-16.806930231887801</c:v>
                </c:pt>
                <c:pt idx="513">
                  <c:v>-16.659192542187121</c:v>
                </c:pt>
                <c:pt idx="514">
                  <c:v>-16.51428629245116</c:v>
                </c:pt>
                <c:pt idx="515">
                  <c:v>-16.372136250388532</c:v>
                </c:pt>
                <c:pt idx="516">
                  <c:v>-16.232669510637468</c:v>
                </c:pt>
                <c:pt idx="517">
                  <c:v>-16.095815400724199</c:v>
                </c:pt>
                <c:pt idx="518">
                  <c:v>-15.961505391102861</c:v>
                </c:pt>
                <c:pt idx="519">
                  <c:v>-15.82967300905921</c:v>
                </c:pt>
                <c:pt idx="520">
                  <c:v>-15.70025375627244</c:v>
                </c:pt>
                <c:pt idx="521">
                  <c:v>-15.573185029840984</c:v>
                </c:pt>
                <c:pt idx="522">
                  <c:v>-15.448406046588712</c:v>
                </c:pt>
                <c:pt idx="523">
                  <c:v>-15.325857770477793</c:v>
                </c:pt>
                <c:pt idx="524">
                  <c:v>-15.205482842963999</c:v>
                </c:pt>
                <c:pt idx="525">
                  <c:v>-15.087225516138702</c:v>
                </c:pt>
                <c:pt idx="526">
                  <c:v>-14.97103158851003</c:v>
                </c:pt>
                <c:pt idx="527">
                  <c:v>-14.85684834328331</c:v>
                </c:pt>
                <c:pt idx="528">
                  <c:v>-14.744624489007887</c:v>
                </c:pt>
                <c:pt idx="529">
                  <c:v>-14.634310102464113</c:v>
                </c:pt>
                <c:pt idx="530">
                  <c:v>-14.525856573670582</c:v>
                </c:pt>
                <c:pt idx="531">
                  <c:v>-14.419216552897311</c:v>
                </c:pt>
                <c:pt idx="532">
                  <c:v>-14.31434389957616</c:v>
                </c:pt>
                <c:pt idx="533">
                  <c:v>-14.211193633004701</c:v>
                </c:pt>
                <c:pt idx="534">
                  <c:v>-14.109721884744527</c:v>
                </c:pt>
                <c:pt idx="535">
                  <c:v>-14.009885852619391</c:v>
                </c:pt>
                <c:pt idx="536">
                  <c:v>-13.911643756222654</c:v>
                </c:pt>
                <c:pt idx="537">
                  <c:v>-13.814954793847281</c:v>
                </c:pt>
                <c:pt idx="538">
                  <c:v>-13.719779100755243</c:v>
                </c:pt>
                <c:pt idx="539">
                  <c:v>-13.626077708706401</c:v>
                </c:pt>
                <c:pt idx="540">
                  <c:v>-13.533812506670065</c:v>
                </c:pt>
                <c:pt idx="541">
                  <c:v>-13.442946202645132</c:v>
                </c:pt>
                <c:pt idx="542">
                  <c:v>-13.353442286517399</c:v>
                </c:pt>
                <c:pt idx="543">
                  <c:v>-13.265264993884953</c:v>
                </c:pt>
                <c:pt idx="544">
                  <c:v>-13.178379270784779</c:v>
                </c:pt>
                <c:pt idx="545">
                  <c:v>-13.092750739255706</c:v>
                </c:pt>
                <c:pt idx="546">
                  <c:v>-13.008345663674527</c:v>
                </c:pt>
                <c:pt idx="547">
                  <c:v>-12.925130917803966</c:v>
                </c:pt>
                <c:pt idx="548">
                  <c:v>-12.843073952492354</c:v>
                </c:pt>
                <c:pt idx="549">
                  <c:v>-12.762142763966397</c:v>
                </c:pt>
                <c:pt idx="550">
                  <c:v>-12.682305862659423</c:v>
                </c:pt>
                <c:pt idx="551">
                  <c:v>-12.603532242518519</c:v>
                </c:pt>
                <c:pt idx="552">
                  <c:v>-12.525791350734757</c:v>
                </c:pt>
                <c:pt idx="553">
                  <c:v>-12.449053057841443</c:v>
                </c:pt>
                <c:pt idx="554">
                  <c:v>-12.37328762812578</c:v>
                </c:pt>
                <c:pt idx="555">
                  <c:v>-12.298465690299819</c:v>
                </c:pt>
                <c:pt idx="556">
                  <c:v>-12.224558208376713</c:v>
                </c:pt>
                <c:pt idx="557">
                  <c:v>-12.151536452698496</c:v>
                </c:pt>
                <c:pt idx="558">
                  <c:v>-12.079371971061574</c:v>
                </c:pt>
                <c:pt idx="559">
                  <c:v>-12.008036559885866</c:v>
                </c:pt>
                <c:pt idx="560">
                  <c:v>-11.937502235373461</c:v>
                </c:pt>
                <c:pt idx="561">
                  <c:v>-11.86774120460198</c:v>
                </c:pt>
                <c:pt idx="562">
                  <c:v>-11.798725836497507</c:v>
                </c:pt>
                <c:pt idx="563">
                  <c:v>-11.730428632631206</c:v>
                </c:pt>
                <c:pt idx="564">
                  <c:v>-11.662822197782932</c:v>
                </c:pt>
                <c:pt idx="565">
                  <c:v>-11.595879210214315</c:v>
                </c:pt>
                <c:pt idx="566">
                  <c:v>-11.529572391592636</c:v>
                </c:pt>
                <c:pt idx="567">
                  <c:v>-11.463874476505882</c:v>
                </c:pt>
                <c:pt idx="568">
                  <c:v>-11.398758181507887</c:v>
                </c:pt>
                <c:pt idx="569">
                  <c:v>-11.334196173631273</c:v>
                </c:pt>
                <c:pt idx="570">
                  <c:v>-11.270161038304407</c:v>
                </c:pt>
                <c:pt idx="571">
                  <c:v>-11.206625246606949</c:v>
                </c:pt>
                <c:pt idx="572">
                  <c:v>-11.1435611217971</c:v>
                </c:pt>
                <c:pt idx="573">
                  <c:v>-11.080940805041767</c:v>
                </c:pt>
                <c:pt idx="574">
                  <c:v>-11.018736220279211</c:v>
                </c:pt>
                <c:pt idx="575">
                  <c:v>-10.956919038141868</c:v>
                </c:pt>
                <c:pt idx="576">
                  <c:v>-10.895460638865137</c:v>
                </c:pt>
                <c:pt idx="577">
                  <c:v>-10.834332074106142</c:v>
                </c:pt>
                <c:pt idx="578">
                  <c:v>-10.77350402759456</c:v>
                </c:pt>
                <c:pt idx="579">
                  <c:v>-10.712946774535736</c:v>
                </c:pt>
                <c:pt idx="580">
                  <c:v>-10.652630139684694</c:v>
                </c:pt>
                <c:pt idx="581">
                  <c:v>-10.592523454007887</c:v>
                </c:pt>
                <c:pt idx="582">
                  <c:v>-10.532595509848077</c:v>
                </c:pt>
                <c:pt idx="583">
                  <c:v>-10.472814514506574</c:v>
                </c:pt>
                <c:pt idx="584">
                  <c:v>-10.413148042155891</c:v>
                </c:pt>
                <c:pt idx="585">
                  <c:v>-10.353562983995381</c:v>
                </c:pt>
                <c:pt idx="586">
                  <c:v>-10.29402549656216</c:v>
                </c:pt>
                <c:pt idx="587">
                  <c:v>-10.23450094810986</c:v>
                </c:pt>
                <c:pt idx="588">
                  <c:v>-10.174953862968806</c:v>
                </c:pt>
                <c:pt idx="589">
                  <c:v>-10.115347863802914</c:v>
                </c:pt>
                <c:pt idx="590">
                  <c:v>-10.055645611681117</c:v>
                </c:pt>
                <c:pt idx="591">
                  <c:v>-9.9958087438850605</c:v>
                </c:pt>
                <c:pt idx="592">
                  <c:v>-9.9357978093795634</c:v>
                </c:pt>
                <c:pt idx="593">
                  <c:v>-9.8755722018790326</c:v>
                </c:pt>
                <c:pt idx="594">
                  <c:v>-9.8150900904511005</c:v>
                </c:pt>
                <c:pt idx="595">
                  <c:v>-9.7543083476091841</c:v>
                </c:pt>
                <c:pt idx="596">
                  <c:v>-9.6931824748581263</c:v>
                </c:pt>
                <c:pt idx="597">
                  <c:v>-9.6316665256726139</c:v>
                </c:pt>
                <c:pt idx="598">
                  <c:v>-9.5697130259063989</c:v>
                </c:pt>
                <c:pt idx="599">
                  <c:v>-9.5072728916525975</c:v>
                </c:pt>
                <c:pt idx="600">
                  <c:v>-9.4442953446014233</c:v>
                </c:pt>
                <c:pt idx="601">
                  <c:v>-9.3807278249727339</c:v>
                </c:pt>
                <c:pt idx="602">
                  <c:v>-9.3165159021369952</c:v>
                </c:pt>
                <c:pt idx="603">
                  <c:v>-9.2516031830806558</c:v>
                </c:pt>
                <c:pt idx="604">
                  <c:v>-9.1859312189210893</c:v>
                </c:pt>
                <c:pt idx="605">
                  <c:v>-9.1194394097333031</c:v>
                </c:pt>
                <c:pt idx="606">
                  <c:v>-9.0520649080162645</c:v>
                </c:pt>
                <c:pt idx="607">
                  <c:v>-8.9837425212021031</c:v>
                </c:pt>
                <c:pt idx="608">
                  <c:v>-8.9144046136978492</c:v>
                </c:pt>
                <c:pt idx="609">
                  <c:v>-8.8439810090476936</c:v>
                </c:pt>
                <c:pt idx="610">
                  <c:v>-8.7723988929156889</c:v>
                </c:pt>
                <c:pt idx="611">
                  <c:v>-8.6995827177152627</c:v>
                </c:pt>
                <c:pt idx="612">
                  <c:v>-8.6254541098547222</c:v>
                </c:pt>
                <c:pt idx="613">
                  <c:v>-8.549931780728155</c:v>
                </c:pt>
                <c:pt idx="614">
                  <c:v>-8.4729314427605402</c:v>
                </c:pt>
                <c:pt idx="615">
                  <c:v>-8.3943657320155065</c:v>
                </c:pt>
                <c:pt idx="616">
                  <c:v>-8.3141441390956246</c:v>
                </c:pt>
                <c:pt idx="617">
                  <c:v>-8.2321729503092769</c:v>
                </c:pt>
                <c:pt idx="618">
                  <c:v>-8.1483552013460088</c:v>
                </c:pt>
                <c:pt idx="619">
                  <c:v>-8.0625906459940744</c:v>
                </c:pt>
                <c:pt idx="620">
                  <c:v>-7.9747757427500181</c:v>
                </c:pt>
                <c:pt idx="621">
                  <c:v>-7.8848036625094506</c:v>
                </c:pt>
                <c:pt idx="622">
                  <c:v>-7.7925643208893618</c:v>
                </c:pt>
                <c:pt idx="623">
                  <c:v>-7.6979444391128222</c:v>
                </c:pt>
                <c:pt idx="624">
                  <c:v>-7.6008276377824195</c:v>
                </c:pt>
                <c:pt idx="625">
                  <c:v>-7.5010945682740857</c:v>
                </c:pt>
                <c:pt idx="626">
                  <c:v>-7.3986230868900664</c:v>
                </c:pt>
                <c:pt idx="627">
                  <c:v>-7.2932884773091669</c:v>
                </c:pt>
                <c:pt idx="628">
                  <c:v>-7.1849637272510929</c:v>
                </c:pt>
                <c:pt idx="629">
                  <c:v>-7.0735198656142462</c:v>
                </c:pt>
                <c:pt idx="630">
                  <c:v>-6.9588263666334589</c:v>
                </c:pt>
                <c:pt idx="631">
                  <c:v>-6.8407516278129448</c:v>
                </c:pt>
                <c:pt idx="632">
                  <c:v>-6.7191635284931532</c:v>
                </c:pt>
                <c:pt idx="633">
                  <c:v>-6.5939300758770951</c:v>
                </c:pt>
                <c:pt idx="634">
                  <c:v>-6.4649201451367375</c:v>
                </c:pt>
                <c:pt idx="635">
                  <c:v>-6.3320043198039535</c:v>
                </c:pt>
                <c:pt idx="636">
                  <c:v>-6.1950558379809531</c:v>
                </c:pt>
                <c:pt idx="637">
                  <c:v>-6.0539516489373142</c:v>
                </c:pt>
                <c:pt idx="638">
                  <c:v>-5.9085735833495079</c:v>
                </c:pt>
                <c:pt idx="639">
                  <c:v>-5.7588096387399768</c:v>
                </c:pt>
                <c:pt idx="640">
                  <c:v>-5.604555379547083</c:v>
                </c:pt>
                <c:pt idx="641">
                  <c:v>-5.4457154486720301</c:v>
                </c:pt>
                <c:pt idx="642">
                  <c:v>-5.2822051842845648</c:v>
                </c:pt>
                <c:pt idx="643">
                  <c:v>-5.1139523321219018</c:v>
                </c:pt>
                <c:pt idx="644">
                  <c:v>-4.9408988395039088</c:v>
                </c:pt>
                <c:pt idx="645">
                  <c:v>-4.7630027128577996</c:v>
                </c:pt>
                <c:pt idx="646">
                  <c:v>-4.5802399157767848</c:v>
                </c:pt>
                <c:pt idx="647">
                  <c:v>-4.3926062796458298</c:v>
                </c:pt>
                <c:pt idx="648">
                  <c:v>-4.2001193938117707</c:v>
                </c:pt>
                <c:pt idx="649">
                  <c:v>-4.0028204373547043</c:v>
                </c:pt>
                <c:pt idx="650">
                  <c:v>-3.8007759099739071</c:v>
                </c:pt>
                <c:pt idx="651">
                  <c:v>-3.5940792156114685</c:v>
                </c:pt>
                <c:pt idx="652">
                  <c:v>-3.3828520495033221</c:v>
                </c:pt>
                <c:pt idx="653">
                  <c:v>-3.1672455376856732</c:v>
                </c:pt>
                <c:pt idx="654">
                  <c:v>-2.9474410779031732</c:v>
                </c:pt>
                <c:pt idx="655">
                  <c:v>-2.7236508326421855</c:v>
                </c:pt>
                <c:pt idx="656">
                  <c:v>-2.4961178288704438</c:v>
                </c:pt>
                <c:pt idx="657">
                  <c:v>-2.2651156251430007</c:v>
                </c:pt>
                <c:pt idx="658">
                  <c:v>-2.0309475150639975</c:v>
                </c:pt>
                <c:pt idx="659">
                  <c:v>-1.7939452465744361</c:v>
                </c:pt>
                <c:pt idx="660">
                  <c:v>-1.5544672489232296</c:v>
                </c:pt>
                <c:pt idx="661">
                  <c:v>-1.3128963730788581</c:v>
                </c:pt>
                <c:pt idx="662">
                  <c:v>-1.0696371662187352</c:v>
                </c:pt>
                <c:pt idx="663">
                  <c:v>-0.8251127161418963</c:v>
                </c:pt>
                <c:pt idx="664">
                  <c:v>-0.57976111625487081</c:v>
                </c:pt>
                <c:pt idx="665">
                  <c:v>-0.3340316154127293</c:v>
                </c:pt>
                <c:pt idx="666">
                  <c:v>-8.8380528609251163E-2</c:v>
                </c:pt>
                <c:pt idx="667">
                  <c:v>0.15673300636885834</c:v>
                </c:pt>
                <c:pt idx="668">
                  <c:v>0.40085133521785615</c:v>
                </c:pt>
                <c:pt idx="669">
                  <c:v>0.64352256271838648</c:v>
                </c:pt>
                <c:pt idx="670">
                  <c:v>0.88430470520515814</c:v>
                </c:pt>
                <c:pt idx="671">
                  <c:v>1.1227696321728653</c:v>
                </c:pt>
                <c:pt idx="672">
                  <c:v>1.3585067173056269</c:v>
                </c:pt>
                <c:pt idx="673">
                  <c:v>1.5911261300550215</c:v>
                </c:pt>
                <c:pt idx="674">
                  <c:v>1.8202617119214515</c:v>
                </c:pt>
                <c:pt idx="675">
                  <c:v>2.0455733960887823</c:v>
                </c:pt>
                <c:pt idx="676">
                  <c:v>2.2667491442540264</c:v>
                </c:pt>
                <c:pt idx="677">
                  <c:v>2.4835063896274323</c:v>
                </c:pt>
                <c:pt idx="678">
                  <c:v>2.6955929894636741</c:v>
                </c:pt>
                <c:pt idx="679">
                  <c:v>2.902787703537415</c:v>
                </c:pt>
                <c:pt idx="680">
                  <c:v>3.1049002262453569</c:v>
                </c:pt>
                <c:pt idx="681">
                  <c:v>3.3017708091984659</c:v>
                </c:pt>
                <c:pt idx="682">
                  <c:v>3.4932695181073012</c:v>
                </c:pt>
                <c:pt idx="683">
                  <c:v>3.6792951724429441</c:v>
                </c:pt>
                <c:pt idx="684">
                  <c:v>3.8597740188776135</c:v>
                </c:pt>
                <c:pt idx="685">
                  <c:v>4.0346581900679324</c:v>
                </c:pt>
                <c:pt idx="686">
                  <c:v>4.2039239992027149</c:v>
                </c:pt>
                <c:pt idx="687">
                  <c:v>4.3675701181980271</c:v>
                </c:pt>
                <c:pt idx="688">
                  <c:v>4.5256156838031432</c:v>
                </c:pt>
                <c:pt idx="689">
                  <c:v>4.6780983714939195</c:v>
                </c:pt>
                <c:pt idx="690">
                  <c:v>4.8250724721656866</c:v>
                </c:pt>
                <c:pt idx="691">
                  <c:v>4.9666070015536317</c:v>
                </c:pt>
                <c:pt idx="692">
                  <c:v>5.1027838672227723</c:v>
                </c:pt>
                <c:pt idx="693">
                  <c:v>5.2336961130568458</c:v>
                </c:pt>
                <c:pt idx="694">
                  <c:v>5.3594462565688907</c:v>
                </c:pt>
                <c:pt idx="695">
                  <c:v>5.4801447301488553</c:v>
                </c:pt>
                <c:pt idx="696">
                  <c:v>5.5959084336136424</c:v>
                </c:pt>
                <c:pt idx="697">
                  <c:v>5.7068594021601076</c:v>
                </c:pt>
                <c:pt idx="698">
                  <c:v>5.8131235910460104</c:v>
                </c:pt>
                <c:pt idx="699">
                  <c:v>5.9148297760221631</c:v>
                </c:pt>
                <c:pt idx="700">
                  <c:v>6.012108566682496</c:v>
                </c:pt>
                <c:pt idx="701">
                  <c:v>6.1050915284493126</c:v>
                </c:pt>
                <c:pt idx="702">
                  <c:v>6.1939104078252258</c:v>
                </c:pt>
                <c:pt idx="703">
                  <c:v>6.2786964547752131</c:v>
                </c:pt>
                <c:pt idx="704">
                  <c:v>6.359579835606195</c:v>
                </c:pt>
                <c:pt idx="705">
                  <c:v>6.436689129443403</c:v>
                </c:pt>
                <c:pt idx="706">
                  <c:v>6.5101509013216052</c:v>
                </c:pt>
                <c:pt idx="707">
                  <c:v>6.5800893449776821</c:v>
                </c:pt>
                <c:pt idx="708">
                  <c:v>6.6466259886158712</c:v>
                </c:pt>
                <c:pt idx="709">
                  <c:v>6.7098794571896194</c:v>
                </c:pt>
                <c:pt idx="710">
                  <c:v>6.7699652850793761</c:v>
                </c:pt>
                <c:pt idx="711">
                  <c:v>6.8269957734235183</c:v>
                </c:pt>
                <c:pt idx="712">
                  <c:v>6.8810798867625049</c:v>
                </c:pt>
                <c:pt idx="713">
                  <c:v>6.9323231840707829</c:v>
                </c:pt>
                <c:pt idx="714">
                  <c:v>6.9808277796659253</c:v>
                </c:pt>
                <c:pt idx="715">
                  <c:v>7.0266923298914516</c:v>
                </c:pt>
                <c:pt idx="716">
                  <c:v>7.0700120418627055</c:v>
                </c:pt>
                <c:pt idx="717">
                  <c:v>7.1108787009393239</c:v>
                </c:pt>
                <c:pt idx="718">
                  <c:v>7.149380713940201</c:v>
                </c:pt>
                <c:pt idx="719">
                  <c:v>7.1856031654456949</c:v>
                </c:pt>
                <c:pt idx="720">
                  <c:v>7.2196278848360569</c:v>
                </c:pt>
                <c:pt idx="721">
                  <c:v>7.2515335219945305</c:v>
                </c:pt>
                <c:pt idx="722">
                  <c:v>7.2813956298587215</c:v>
                </c:pt>
                <c:pt idx="723">
                  <c:v>7.30928675223534</c:v>
                </c:pt>
                <c:pt idx="724">
                  <c:v>7.3352765155024029</c:v>
                </c:pt>
                <c:pt idx="725">
                  <c:v>7.3594317230108093</c:v>
                </c:pt>
                <c:pt idx="726">
                  <c:v>7.3818164511650766</c:v>
                </c:pt>
                <c:pt idx="727">
                  <c:v>7.4024921463125741</c:v>
                </c:pt>
                <c:pt idx="728">
                  <c:v>7.4215177217032622</c:v>
                </c:pt>
                <c:pt idx="729">
                  <c:v>7.4389496538991784</c:v>
                </c:pt>
                <c:pt idx="730">
                  <c:v>7.4548420781159388</c:v>
                </c:pt>
                <c:pt idx="731">
                  <c:v>7.4692468820691635</c:v>
                </c:pt>
                <c:pt idx="732">
                  <c:v>7.4822137979776269</c:v>
                </c:pt>
                <c:pt idx="733">
                  <c:v>7.4937904924437628</c:v>
                </c:pt>
                <c:pt idx="734">
                  <c:v>7.5040226539918251</c:v>
                </c:pt>
                <c:pt idx="735">
                  <c:v>7.512954078095393</c:v>
                </c:pt>
                <c:pt idx="736">
                  <c:v>7.5206267495702805</c:v>
                </c:pt>
                <c:pt idx="737">
                  <c:v>7.5270809222467063</c:v>
                </c:pt>
                <c:pt idx="738">
                  <c:v>7.5323551958667982</c:v>
                </c:pt>
                <c:pt idx="739">
                  <c:v>7.5364865901809175</c:v>
                </c:pt>
                <c:pt idx="740">
                  <c:v>7.5395106162390642</c:v>
                </c:pt>
                <c:pt idx="741">
                  <c:v>7.5414613448929524</c:v>
                </c:pt>
                <c:pt idx="742">
                  <c:v>7.5423714725400908</c:v>
                </c:pt>
                <c:pt idx="743">
                  <c:v>7.542272384154229</c:v>
                </c:pt>
                <c:pt idx="744">
                  <c:v>7.5411942136570715</c:v>
                </c:pt>
                <c:pt idx="745">
                  <c:v>7.5391659016944566</c:v>
                </c:pt>
                <c:pt idx="746">
                  <c:v>7.5362152508867819</c:v>
                </c:pt>
                <c:pt idx="747">
                  <c:v>7.532368978628349</c:v>
                </c:pt>
                <c:pt idx="748">
                  <c:v>7.5276527675138967</c:v>
                </c:pt>
                <c:pt idx="749">
                  <c:v>7.5220913134730685</c:v>
                </c:pt>
                <c:pt idx="750">
                  <c:v>7.5157083716949877</c:v>
                </c:pt>
                <c:pt idx="751">
                  <c:v>7.5085268004257539</c:v>
                </c:pt>
                <c:pt idx="752">
                  <c:v>7.5005686027217555</c:v>
                </c:pt>
                <c:pt idx="753">
                  <c:v>7.4918549662409415</c:v>
                </c:pt>
                <c:pt idx="754">
                  <c:v>7.4824063011532953</c:v>
                </c:pt>
                <c:pt idx="755">
                  <c:v>7.4722422762502063</c:v>
                </c:pt>
                <c:pt idx="756">
                  <c:v>7.4613818533307654</c:v>
                </c:pt>
                <c:pt idx="757">
                  <c:v>7.4498433199410217</c:v>
                </c:pt>
                <c:pt idx="758">
                  <c:v>7.4376443205400715</c:v>
                </c:pt>
                <c:pt idx="759">
                  <c:v>7.4248018861645653</c:v>
                </c:pt>
                <c:pt idx="760">
                  <c:v>7.4113324626608286</c:v>
                </c:pt>
                <c:pt idx="761">
                  <c:v>7.3972519375513386</c:v>
                </c:pt>
                <c:pt idx="762">
                  <c:v>7.3825756655998385</c:v>
                </c:pt>
                <c:pt idx="763">
                  <c:v>7.3673184931367928</c:v>
                </c:pt>
                <c:pt idx="764">
                  <c:v>7.3514947812045204</c:v>
                </c:pt>
                <c:pt idx="765">
                  <c:v>7.3351184275787515</c:v>
                </c:pt>
                <c:pt idx="766">
                  <c:v>7.3182028877210223</c:v>
                </c:pt>
                <c:pt idx="767">
                  <c:v>7.3007611947138855</c:v>
                </c:pt>
                <c:pt idx="768">
                  <c:v>7.282805978228625</c:v>
                </c:pt>
                <c:pt idx="769">
                  <c:v>7.2643494825728698</c:v>
                </c:pt>
                <c:pt idx="770">
                  <c:v>7.2454035838633555</c:v>
                </c:pt>
                <c:pt idx="771">
                  <c:v>7.2259798063669329</c:v>
                </c:pt>
                <c:pt idx="772">
                  <c:v>7.2060893380508793</c:v>
                </c:pt>
                <c:pt idx="773">
                  <c:v>7.1857430453816118</c:v>
                </c:pt>
                <c:pt idx="774">
                  <c:v>7.1649514874090077</c:v>
                </c:pt>
                <c:pt idx="775">
                  <c:v>7.143724929171694</c:v>
                </c:pt>
                <c:pt idx="776">
                  <c:v>7.1220733544570045</c:v>
                </c:pt>
                <c:pt idx="777">
                  <c:v>7.1000064779475274</c:v>
                </c:pt>
                <c:pt idx="778">
                  <c:v>7.077533756784657</c:v>
                </c:pt>
                <c:pt idx="779">
                  <c:v>7.0546644015780391</c:v>
                </c:pt>
                <c:pt idx="780">
                  <c:v>7.0314073868882794</c:v>
                </c:pt>
                <c:pt idx="781">
                  <c:v>7.0077714612090265</c:v>
                </c:pt>
                <c:pt idx="782">
                  <c:v>6.9837651564730825</c:v>
                </c:pt>
                <c:pt idx="783">
                  <c:v>6.959396797106038</c:v>
                </c:pt>
                <c:pt idx="784">
                  <c:v>6.934674508649735</c:v>
                </c:pt>
                <c:pt idx="785">
                  <c:v>6.9096062259766686</c:v>
                </c:pt>
                <c:pt idx="786">
                  <c:v>6.884199701115401</c:v>
                </c:pt>
                <c:pt idx="787">
                  <c:v>6.8584625107060724</c:v>
                </c:pt>
                <c:pt idx="788">
                  <c:v>6.8324020631040288</c:v>
                </c:pt>
                <c:pt idx="789">
                  <c:v>6.8060256051487791</c:v>
                </c:pt>
                <c:pt idx="790">
                  <c:v>6.7793402286145188</c:v>
                </c:pt>
                <c:pt idx="791">
                  <c:v>6.752352876357703</c:v>
                </c:pt>
                <c:pt idx="792">
                  <c:v>6.7250703481763132</c:v>
                </c:pt>
                <c:pt idx="793">
                  <c:v>6.6974993063947608</c:v>
                </c:pt>
                <c:pt idx="794">
                  <c:v>6.6696462811876218</c:v>
                </c:pt>
                <c:pt idx="795">
                  <c:v>6.6415176756547645</c:v>
                </c:pt>
                <c:pt idx="796">
                  <c:v>6.6131197706597433</c:v>
                </c:pt>
                <c:pt idx="797">
                  <c:v>6.5844587294428294</c:v>
                </c:pt>
                <c:pt idx="798">
                  <c:v>6.5555406020193434</c:v>
                </c:pt>
                <c:pt idx="799">
                  <c:v>6.5263713293735472</c:v>
                </c:pt>
                <c:pt idx="800">
                  <c:v>6.4969567474577312</c:v>
                </c:pt>
                <c:pt idx="801">
                  <c:v>6.4673025910057316</c:v>
                </c:pt>
                <c:pt idx="802">
                  <c:v>6.4374144971696117</c:v>
                </c:pt>
                <c:pt idx="803">
                  <c:v>6.4072980089877722</c:v>
                </c:pt>
                <c:pt idx="804">
                  <c:v>6.3769585786924612</c:v>
                </c:pt>
                <c:pt idx="805">
                  <c:v>6.3464015708641082</c:v>
                </c:pt>
                <c:pt idx="806">
                  <c:v>6.315632265439648</c:v>
                </c:pt>
                <c:pt idx="807">
                  <c:v>6.2846558605816139</c:v>
                </c:pt>
                <c:pt idx="808">
                  <c:v>6.2534774754144644</c:v>
                </c:pt>
                <c:pt idx="809">
                  <c:v>6.222102152634208</c:v>
                </c:pt>
                <c:pt idx="810">
                  <c:v>6.1905348609972579</c:v>
                </c:pt>
                <c:pt idx="811">
                  <c:v>6.1587804976939857</c:v>
                </c:pt>
                <c:pt idx="812">
                  <c:v>6.1268438906122871</c:v>
                </c:pt>
                <c:pt idx="813">
                  <c:v>6.0947298004962001</c:v>
                </c:pt>
                <c:pt idx="814">
                  <c:v>6.0624429230043404</c:v>
                </c:pt>
                <c:pt idx="815">
                  <c:v>6.0299878906727065</c:v>
                </c:pt>
                <c:pt idx="816">
                  <c:v>5.9973692747862284</c:v>
                </c:pt>
                <c:pt idx="817">
                  <c:v>5.9645915871631487</c:v>
                </c:pt>
                <c:pt idx="818">
                  <c:v>5.9316592818562262</c:v>
                </c:pt>
                <c:pt idx="819">
                  <c:v>5.8985767567744531</c:v>
                </c:pt>
                <c:pt idx="820">
                  <c:v>5.8653483552289245</c:v>
                </c:pt>
                <c:pt idx="821">
                  <c:v>5.8319783674062329</c:v>
                </c:pt>
                <c:pt idx="822">
                  <c:v>5.79847103177267</c:v>
                </c:pt>
                <c:pt idx="823">
                  <c:v>5.7648305364122887</c:v>
                </c:pt>
                <c:pt idx="824">
                  <c:v>5.7310610203018451</c:v>
                </c:pt>
                <c:pt idx="825">
                  <c:v>5.6971665745253945</c:v>
                </c:pt>
                <c:pt idx="826">
                  <c:v>5.6631512434312867</c:v>
                </c:pt>
                <c:pt idx="827">
                  <c:v>5.6290190257340633</c:v>
                </c:pt>
                <c:pt idx="828">
                  <c:v>5.5947738755637904</c:v>
                </c:pt>
                <c:pt idx="829">
                  <c:v>5.560419703465115</c:v>
                </c:pt>
                <c:pt idx="830">
                  <c:v>5.5259603773483121</c:v>
                </c:pt>
                <c:pt idx="831">
                  <c:v>5.4913997233944567</c:v>
                </c:pt>
                <c:pt idx="832">
                  <c:v>5.4567415269167743</c:v>
                </c:pt>
                <c:pt idx="833">
                  <c:v>5.4219895331801151</c:v>
                </c:pt>
                <c:pt idx="834">
                  <c:v>5.3871474481804009</c:v>
                </c:pt>
                <c:pt idx="835">
                  <c:v>5.3522189393859136</c:v>
                </c:pt>
                <c:pt idx="836">
                  <c:v>5.3172076364420073</c:v>
                </c:pt>
                <c:pt idx="837">
                  <c:v>5.2821171318410158</c:v>
                </c:pt>
                <c:pt idx="838">
                  <c:v>5.2469509815587969</c:v>
                </c:pt>
                <c:pt idx="839">
                  <c:v>5.2117127056595063</c:v>
                </c:pt>
                <c:pt idx="840">
                  <c:v>5.1764057888699933</c:v>
                </c:pt>
                <c:pt idx="841">
                  <c:v>5.1410336811251902</c:v>
                </c:pt>
                <c:pt idx="842">
                  <c:v>5.1055997980857919</c:v>
                </c:pt>
                <c:pt idx="843">
                  <c:v>5.0701075216295601</c:v>
                </c:pt>
                <c:pt idx="844">
                  <c:v>5.0345602003173591</c:v>
                </c:pt>
                <c:pt idx="845">
                  <c:v>4.9989611498351563</c:v>
                </c:pt>
                <c:pt idx="846">
                  <c:v>4.9633136534130422</c:v>
                </c:pt>
                <c:pt idx="847">
                  <c:v>4.927620962222373</c:v>
                </c:pt>
                <c:pt idx="848">
                  <c:v>4.8918862957520375</c:v>
                </c:pt>
                <c:pt idx="849">
                  <c:v>4.8561128421647979</c:v>
                </c:pt>
                <c:pt idx="850">
                  <c:v>4.8203037586347008</c:v>
                </c:pt>
                <c:pt idx="851">
                  <c:v>4.7844621716663926</c:v>
                </c:pt>
                <c:pt idx="852">
                  <c:v>4.7485911773972385</c:v>
                </c:pt>
                <c:pt idx="853">
                  <c:v>4.7126938418830804</c:v>
                </c:pt>
                <c:pt idx="854">
                  <c:v>4.6767732013683778</c:v>
                </c:pt>
                <c:pt idx="855">
                  <c:v>4.6408322625415535</c:v>
                </c:pt>
                <c:pt idx="856">
                  <c:v>4.6048740027762349</c:v>
                </c:pt>
                <c:pt idx="857">
                  <c:v>4.5689013703590957</c:v>
                </c:pt>
                <c:pt idx="858">
                  <c:v>4.5329172847050101</c:v>
                </c:pt>
                <c:pt idx="859">
                  <c:v>4.4969246365600961</c:v>
                </c:pt>
                <c:pt idx="860">
                  <c:v>4.4609262881933613</c:v>
                </c:pt>
                <c:pt idx="861">
                  <c:v>4.4249250735774428</c:v>
                </c:pt>
                <c:pt idx="862">
                  <c:v>4.3889237985591167</c:v>
                </c:pt>
                <c:pt idx="863">
                  <c:v>4.3529252410200527</c:v>
                </c:pt>
                <c:pt idx="864">
                  <c:v>4.3169321510283973</c:v>
                </c:pt>
                <c:pt idx="865">
                  <c:v>4.280947250981626</c:v>
                </c:pt>
                <c:pt idx="866">
                  <c:v>4.2449732357412682</c:v>
                </c:pt>
                <c:pt idx="867">
                  <c:v>4.2090127727598121</c:v>
                </c:pt>
                <c:pt idx="868">
                  <c:v>4.1730685022004019</c:v>
                </c:pt>
                <c:pt idx="869">
                  <c:v>4.1371430370496824</c:v>
                </c:pt>
                <c:pt idx="870">
                  <c:v>4.1012389632241657</c:v>
                </c:pt>
                <c:pt idx="871">
                  <c:v>4.0653588396706288</c:v>
                </c:pt>
                <c:pt idx="872">
                  <c:v>4.0295051984608481</c:v>
                </c:pt>
                <c:pt idx="873">
                  <c:v>3.99368054488105</c:v>
                </c:pt>
                <c:pt idx="874">
                  <c:v>3.957887357516463</c:v>
                </c:pt>
                <c:pt idx="875">
                  <c:v>3.9221280883312817</c:v>
                </c:pt>
                <c:pt idx="876">
                  <c:v>3.8864051627443903</c:v>
                </c:pt>
                <c:pt idx="877">
                  <c:v>3.8507209797011681</c:v>
                </c:pt>
                <c:pt idx="878">
                  <c:v>3.8150779117416178</c:v>
                </c:pt>
                <c:pt idx="879">
                  <c:v>3.7794783050652425</c:v>
                </c:pt>
                <c:pt idx="880">
                  <c:v>3.7439244795927653</c:v>
                </c:pt>
                <c:pt idx="881">
                  <c:v>3.7084187290251194</c:v>
                </c:pt>
                <c:pt idx="882">
                  <c:v>3.6729633208999166</c:v>
                </c:pt>
                <c:pt idx="883">
                  <c:v>3.6375604966455706</c:v>
                </c:pt>
                <c:pt idx="884">
                  <c:v>3.6022124716334396</c:v>
                </c:pt>
                <c:pt idx="885">
                  <c:v>3.5669214352280862</c:v>
                </c:pt>
                <c:pt idx="886">
                  <c:v>3.5316895508360053</c:v>
                </c:pt>
                <c:pt idx="887">
                  <c:v>3.4965189559528849</c:v>
                </c:pt>
                <c:pt idx="888">
                  <c:v>3.4614117622097327</c:v>
                </c:pt>
                <c:pt idx="889">
                  <c:v>3.4263700554179684</c:v>
                </c:pt>
                <c:pt idx="890">
                  <c:v>3.3913958956137309</c:v>
                </c:pt>
                <c:pt idx="891">
                  <c:v>3.3913610899836</c:v>
                </c:pt>
                <c:pt idx="892">
                  <c:v>3.3913262844229024</c:v>
                </c:pt>
                <c:pt idx="893">
                  <c:v>3.3912914789316382</c:v>
                </c:pt>
                <c:pt idx="894">
                  <c:v>3.3912566735098153</c:v>
                </c:pt>
                <c:pt idx="895">
                  <c:v>3.3912218681574293</c:v>
                </c:pt>
                <c:pt idx="896">
                  <c:v>3.3911870628744838</c:v>
                </c:pt>
                <c:pt idx="897">
                  <c:v>3.391152257660984</c:v>
                </c:pt>
                <c:pt idx="898">
                  <c:v>3.3911174525169354</c:v>
                </c:pt>
                <c:pt idx="899">
                  <c:v>3.3910826474423281</c:v>
                </c:pt>
                <c:pt idx="900">
                  <c:v>3.3910478424371719</c:v>
                </c:pt>
                <c:pt idx="901">
                  <c:v>3.3910130375014678</c:v>
                </c:pt>
                <c:pt idx="902">
                  <c:v>3.3909782326352182</c:v>
                </c:pt>
                <c:pt idx="903">
                  <c:v>3.3909434278384234</c:v>
                </c:pt>
                <c:pt idx="904">
                  <c:v>3.3909086231110868</c:v>
                </c:pt>
                <c:pt idx="905">
                  <c:v>3.3908738184532119</c:v>
                </c:pt>
                <c:pt idx="906">
                  <c:v>3.3908390138647979</c:v>
                </c:pt>
                <c:pt idx="907">
                  <c:v>3.3908042093458475</c:v>
                </c:pt>
                <c:pt idx="908">
                  <c:v>3.390769404896365</c:v>
                </c:pt>
                <c:pt idx="909">
                  <c:v>3.390734600516347</c:v>
                </c:pt>
                <c:pt idx="910">
                  <c:v>3.3906997962057988</c:v>
                </c:pt>
                <c:pt idx="911">
                  <c:v>3.3906649919647238</c:v>
                </c:pt>
                <c:pt idx="912">
                  <c:v>3.3906301877931231</c:v>
                </c:pt>
                <c:pt idx="913">
                  <c:v>3.3905953836909957</c:v>
                </c:pt>
                <c:pt idx="914">
                  <c:v>3.3905605796583496</c:v>
                </c:pt>
                <c:pt idx="915">
                  <c:v>3.390525775695183</c:v>
                </c:pt>
                <c:pt idx="916">
                  <c:v>3.3904909718014977</c:v>
                </c:pt>
                <c:pt idx="917">
                  <c:v>3.3904561679772929</c:v>
                </c:pt>
                <c:pt idx="918">
                  <c:v>3.3904213642225747</c:v>
                </c:pt>
                <c:pt idx="919">
                  <c:v>3.3903865605373467</c:v>
                </c:pt>
                <c:pt idx="920">
                  <c:v>3.3903517569216062</c:v>
                </c:pt>
                <c:pt idx="921">
                  <c:v>3.3903169533753585</c:v>
                </c:pt>
                <c:pt idx="922">
                  <c:v>3.3902821498986064</c:v>
                </c:pt>
                <c:pt idx="923">
                  <c:v>3.3902473464913472</c:v>
                </c:pt>
                <c:pt idx="924">
                  <c:v>3.3902125431535879</c:v>
                </c:pt>
                <c:pt idx="925">
                  <c:v>3.3901777398853286</c:v>
                </c:pt>
                <c:pt idx="926">
                  <c:v>3.3901429366865701</c:v>
                </c:pt>
                <c:pt idx="927">
                  <c:v>3.390108133557316</c:v>
                </c:pt>
                <c:pt idx="928">
                  <c:v>3.3900733304975663</c:v>
                </c:pt>
                <c:pt idx="929">
                  <c:v>3.3900385275073246</c:v>
                </c:pt>
                <c:pt idx="930">
                  <c:v>3.3900037245865944</c:v>
                </c:pt>
                <c:pt idx="931">
                  <c:v>3.3899689217353783</c:v>
                </c:pt>
                <c:pt idx="932">
                  <c:v>3.389934118953672</c:v>
                </c:pt>
                <c:pt idx="933">
                  <c:v>3.3898993162414781</c:v>
                </c:pt>
                <c:pt idx="934">
                  <c:v>3.3898645135988072</c:v>
                </c:pt>
                <c:pt idx="935">
                  <c:v>3.3898297110256568</c:v>
                </c:pt>
                <c:pt idx="936">
                  <c:v>3.3897949085220231</c:v>
                </c:pt>
                <c:pt idx="937">
                  <c:v>3.3897601060879179</c:v>
                </c:pt>
                <c:pt idx="938">
                  <c:v>3.3897253037233384</c:v>
                </c:pt>
                <c:pt idx="939">
                  <c:v>3.3896905014282828</c:v>
                </c:pt>
                <c:pt idx="940">
                  <c:v>3.3896556992027609</c:v>
                </c:pt>
                <c:pt idx="941">
                  <c:v>3.3896208970467656</c:v>
                </c:pt>
                <c:pt idx="942">
                  <c:v>3.3895860949603076</c:v>
                </c:pt>
                <c:pt idx="943">
                  <c:v>3.3895512929433833</c:v>
                </c:pt>
                <c:pt idx="944">
                  <c:v>3.3895164909959972</c:v>
                </c:pt>
                <c:pt idx="945">
                  <c:v>3.3894816891181518</c:v>
                </c:pt>
                <c:pt idx="946">
                  <c:v>3.3894468873098464</c:v>
                </c:pt>
                <c:pt idx="947">
                  <c:v>3.3894120855710854</c:v>
                </c:pt>
                <c:pt idx="948">
                  <c:v>3.3893772839018705</c:v>
                </c:pt>
                <c:pt idx="949">
                  <c:v>3.3893424823022089</c:v>
                </c:pt>
                <c:pt idx="950">
                  <c:v>3.389307680772089</c:v>
                </c:pt>
                <c:pt idx="951">
                  <c:v>3.3892728793115232</c:v>
                </c:pt>
                <c:pt idx="952">
                  <c:v>3.3892380779205133</c:v>
                </c:pt>
                <c:pt idx="953">
                  <c:v>3.3892032765990567</c:v>
                </c:pt>
                <c:pt idx="954">
                  <c:v>3.389168475347156</c:v>
                </c:pt>
                <c:pt idx="955">
                  <c:v>3.3891336741648175</c:v>
                </c:pt>
                <c:pt idx="956">
                  <c:v>3.3890988730520419</c:v>
                </c:pt>
                <c:pt idx="957">
                  <c:v>3.3890640720088276</c:v>
                </c:pt>
                <c:pt idx="958">
                  <c:v>3.3890292710351817</c:v>
                </c:pt>
                <c:pt idx="959">
                  <c:v>3.3889944701310988</c:v>
                </c:pt>
                <c:pt idx="960">
                  <c:v>3.3889596692965913</c:v>
                </c:pt>
                <c:pt idx="961">
                  <c:v>3.3889248685316495</c:v>
                </c:pt>
                <c:pt idx="962">
                  <c:v>3.388890067836285</c:v>
                </c:pt>
                <c:pt idx="963">
                  <c:v>3.3888552672104932</c:v>
                </c:pt>
                <c:pt idx="964">
                  <c:v>3.3888204666542796</c:v>
                </c:pt>
                <c:pt idx="965">
                  <c:v>3.3887856661676494</c:v>
                </c:pt>
                <c:pt idx="966">
                  <c:v>3.3887508657505991</c:v>
                </c:pt>
                <c:pt idx="967">
                  <c:v>3.3887160654031305</c:v>
                </c:pt>
                <c:pt idx="968">
                  <c:v>3.3886812651252516</c:v>
                </c:pt>
                <c:pt idx="969">
                  <c:v>3.3886464649169552</c:v>
                </c:pt>
                <c:pt idx="970">
                  <c:v>3.3886116647782512</c:v>
                </c:pt>
                <c:pt idx="971">
                  <c:v>3.3885768647091385</c:v>
                </c:pt>
                <c:pt idx="972">
                  <c:v>3.3885420647096183</c:v>
                </c:pt>
                <c:pt idx="973">
                  <c:v>3.3885072647796957</c:v>
                </c:pt>
                <c:pt idx="974">
                  <c:v>3.3884724649193689</c:v>
                </c:pt>
                <c:pt idx="975">
                  <c:v>3.3884376651286399</c:v>
                </c:pt>
                <c:pt idx="976">
                  <c:v>3.3884028654075165</c:v>
                </c:pt>
                <c:pt idx="977">
                  <c:v>3.3883680657559951</c:v>
                </c:pt>
                <c:pt idx="978">
                  <c:v>3.3883332661740795</c:v>
                </c:pt>
                <c:pt idx="979">
                  <c:v>3.3882984666617686</c:v>
                </c:pt>
                <c:pt idx="980">
                  <c:v>3.3882636672190714</c:v>
                </c:pt>
                <c:pt idx="981">
                  <c:v>3.3882288678459851</c:v>
                </c:pt>
                <c:pt idx="982">
                  <c:v>3.3881940685425098</c:v>
                </c:pt>
                <c:pt idx="983">
                  <c:v>3.3881592693086509</c:v>
                </c:pt>
                <c:pt idx="984">
                  <c:v>3.3881244701444118</c:v>
                </c:pt>
                <c:pt idx="985">
                  <c:v>3.3880896710497899</c:v>
                </c:pt>
                <c:pt idx="986">
                  <c:v>3.3880548720247896</c:v>
                </c:pt>
                <c:pt idx="987">
                  <c:v>3.3880200730694128</c:v>
                </c:pt>
                <c:pt idx="988">
                  <c:v>3.3879852741836611</c:v>
                </c:pt>
                <c:pt idx="989">
                  <c:v>3.3879504753675409</c:v>
                </c:pt>
                <c:pt idx="990">
                  <c:v>3.387915676621045</c:v>
                </c:pt>
                <c:pt idx="991">
                  <c:v>3.3878808779441831</c:v>
                </c:pt>
                <c:pt idx="992">
                  <c:v>3.3878460793369518</c:v>
                </c:pt>
                <c:pt idx="993">
                  <c:v>3.3878112807993563</c:v>
                </c:pt>
                <c:pt idx="994">
                  <c:v>3.3877764823313994</c:v>
                </c:pt>
                <c:pt idx="995">
                  <c:v>3.3877416839330827</c:v>
                </c:pt>
                <c:pt idx="996">
                  <c:v>3.3877068856044064</c:v>
                </c:pt>
                <c:pt idx="997">
                  <c:v>3.3876720873453765</c:v>
                </c:pt>
                <c:pt idx="998">
                  <c:v>3.3876372891559878</c:v>
                </c:pt>
                <c:pt idx="999">
                  <c:v>3.387602491036251</c:v>
                </c:pt>
                <c:pt idx="1000">
                  <c:v>3.3875676929861624</c:v>
                </c:pt>
              </c:numCache>
            </c:numRef>
          </c:yVal>
          <c:smooth val="0"/>
          <c:extLst>
            <c:ext xmlns:c16="http://schemas.microsoft.com/office/drawing/2014/chart" uri="{C3380CC4-5D6E-409C-BE32-E72D297353CC}">
              <c16:uniqueId val="{00000000-2879-444D-95E8-1EF697772180}"/>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43.900100000000293</c:v>
                </c:pt>
                <c:pt idx="891">
                  <c:v>43.900200000000297</c:v>
                </c:pt>
                <c:pt idx="892">
                  <c:v>43.9003000000003</c:v>
                </c:pt>
                <c:pt idx="893">
                  <c:v>43.900400000000303</c:v>
                </c:pt>
                <c:pt idx="894">
                  <c:v>43.900500000000306</c:v>
                </c:pt>
                <c:pt idx="895">
                  <c:v>43.90060000000031</c:v>
                </c:pt>
                <c:pt idx="896">
                  <c:v>43.900700000000313</c:v>
                </c:pt>
                <c:pt idx="897">
                  <c:v>43.900800000000316</c:v>
                </c:pt>
                <c:pt idx="898">
                  <c:v>43.90090000000032</c:v>
                </c:pt>
                <c:pt idx="899">
                  <c:v>43.901000000000323</c:v>
                </c:pt>
                <c:pt idx="900">
                  <c:v>43.901100000000326</c:v>
                </c:pt>
                <c:pt idx="901">
                  <c:v>43.90120000000033</c:v>
                </c:pt>
                <c:pt idx="902">
                  <c:v>43.901300000000333</c:v>
                </c:pt>
                <c:pt idx="903">
                  <c:v>43.901400000000336</c:v>
                </c:pt>
                <c:pt idx="904">
                  <c:v>43.90150000000034</c:v>
                </c:pt>
                <c:pt idx="905">
                  <c:v>43.901600000000343</c:v>
                </c:pt>
                <c:pt idx="906">
                  <c:v>43.901700000000346</c:v>
                </c:pt>
                <c:pt idx="907">
                  <c:v>43.90180000000035</c:v>
                </c:pt>
                <c:pt idx="908">
                  <c:v>43.901900000000353</c:v>
                </c:pt>
                <c:pt idx="909">
                  <c:v>43.902000000000356</c:v>
                </c:pt>
                <c:pt idx="910">
                  <c:v>43.90210000000036</c:v>
                </c:pt>
                <c:pt idx="911">
                  <c:v>43.902200000000363</c:v>
                </c:pt>
                <c:pt idx="912">
                  <c:v>43.902300000000366</c:v>
                </c:pt>
                <c:pt idx="913">
                  <c:v>43.90240000000037</c:v>
                </c:pt>
                <c:pt idx="914">
                  <c:v>43.902500000000373</c:v>
                </c:pt>
                <c:pt idx="915">
                  <c:v>43.902600000000376</c:v>
                </c:pt>
                <c:pt idx="916">
                  <c:v>43.90270000000038</c:v>
                </c:pt>
                <c:pt idx="917">
                  <c:v>43.902800000000383</c:v>
                </c:pt>
                <c:pt idx="918">
                  <c:v>43.902900000000386</c:v>
                </c:pt>
                <c:pt idx="919">
                  <c:v>43.903000000000389</c:v>
                </c:pt>
                <c:pt idx="920">
                  <c:v>43.903100000000393</c:v>
                </c:pt>
                <c:pt idx="921">
                  <c:v>43.903200000000396</c:v>
                </c:pt>
                <c:pt idx="922">
                  <c:v>43.903300000000399</c:v>
                </c:pt>
                <c:pt idx="923">
                  <c:v>43.903400000000403</c:v>
                </c:pt>
                <c:pt idx="924">
                  <c:v>43.903500000000406</c:v>
                </c:pt>
                <c:pt idx="925">
                  <c:v>43.903600000000409</c:v>
                </c:pt>
                <c:pt idx="926">
                  <c:v>43.903700000000413</c:v>
                </c:pt>
                <c:pt idx="927">
                  <c:v>43.903800000000416</c:v>
                </c:pt>
                <c:pt idx="928">
                  <c:v>43.903900000000419</c:v>
                </c:pt>
                <c:pt idx="929">
                  <c:v>43.904000000000423</c:v>
                </c:pt>
                <c:pt idx="930">
                  <c:v>43.904100000000426</c:v>
                </c:pt>
                <c:pt idx="931">
                  <c:v>43.904200000000429</c:v>
                </c:pt>
                <c:pt idx="932">
                  <c:v>43.904300000000433</c:v>
                </c:pt>
                <c:pt idx="933">
                  <c:v>43.904400000000436</c:v>
                </c:pt>
                <c:pt idx="934">
                  <c:v>43.904500000000439</c:v>
                </c:pt>
                <c:pt idx="935">
                  <c:v>43.904600000000443</c:v>
                </c:pt>
                <c:pt idx="936">
                  <c:v>43.904700000000446</c:v>
                </c:pt>
                <c:pt idx="937">
                  <c:v>43.904800000000449</c:v>
                </c:pt>
                <c:pt idx="938">
                  <c:v>43.904900000000453</c:v>
                </c:pt>
                <c:pt idx="939">
                  <c:v>43.905000000000456</c:v>
                </c:pt>
                <c:pt idx="940">
                  <c:v>43.905100000000459</c:v>
                </c:pt>
                <c:pt idx="941">
                  <c:v>43.905200000000463</c:v>
                </c:pt>
                <c:pt idx="942">
                  <c:v>43.905300000000466</c:v>
                </c:pt>
                <c:pt idx="943">
                  <c:v>43.905400000000469</c:v>
                </c:pt>
                <c:pt idx="944">
                  <c:v>43.905500000000472</c:v>
                </c:pt>
                <c:pt idx="945">
                  <c:v>43.905600000000476</c:v>
                </c:pt>
                <c:pt idx="946">
                  <c:v>43.905700000000479</c:v>
                </c:pt>
                <c:pt idx="947">
                  <c:v>43.905800000000482</c:v>
                </c:pt>
                <c:pt idx="948">
                  <c:v>43.905900000000486</c:v>
                </c:pt>
                <c:pt idx="949">
                  <c:v>43.906000000000489</c:v>
                </c:pt>
                <c:pt idx="950">
                  <c:v>43.906100000000492</c:v>
                </c:pt>
                <c:pt idx="951">
                  <c:v>43.906200000000496</c:v>
                </c:pt>
                <c:pt idx="952">
                  <c:v>43.906300000000499</c:v>
                </c:pt>
                <c:pt idx="953">
                  <c:v>43.906400000000502</c:v>
                </c:pt>
                <c:pt idx="954">
                  <c:v>43.906500000000506</c:v>
                </c:pt>
                <c:pt idx="955">
                  <c:v>43.906600000000509</c:v>
                </c:pt>
                <c:pt idx="956">
                  <c:v>43.906700000000512</c:v>
                </c:pt>
                <c:pt idx="957">
                  <c:v>43.906800000000516</c:v>
                </c:pt>
                <c:pt idx="958">
                  <c:v>43.906900000000519</c:v>
                </c:pt>
                <c:pt idx="959">
                  <c:v>43.907000000000522</c:v>
                </c:pt>
                <c:pt idx="960">
                  <c:v>43.907100000000526</c:v>
                </c:pt>
                <c:pt idx="961">
                  <c:v>43.907200000000529</c:v>
                </c:pt>
                <c:pt idx="962">
                  <c:v>43.907300000000532</c:v>
                </c:pt>
                <c:pt idx="963">
                  <c:v>43.907400000000536</c:v>
                </c:pt>
                <c:pt idx="964">
                  <c:v>43.907500000000539</c:v>
                </c:pt>
                <c:pt idx="965">
                  <c:v>43.907600000000542</c:v>
                </c:pt>
                <c:pt idx="966">
                  <c:v>43.907700000000546</c:v>
                </c:pt>
                <c:pt idx="967">
                  <c:v>43.907800000000549</c:v>
                </c:pt>
                <c:pt idx="968">
                  <c:v>43.907900000000552</c:v>
                </c:pt>
                <c:pt idx="969">
                  <c:v>43.908000000000555</c:v>
                </c:pt>
                <c:pt idx="970">
                  <c:v>43.908100000000559</c:v>
                </c:pt>
                <c:pt idx="971">
                  <c:v>43.908200000000562</c:v>
                </c:pt>
                <c:pt idx="972">
                  <c:v>43.908300000000565</c:v>
                </c:pt>
                <c:pt idx="973">
                  <c:v>43.908400000000569</c:v>
                </c:pt>
                <c:pt idx="974">
                  <c:v>43.908500000000572</c:v>
                </c:pt>
                <c:pt idx="975">
                  <c:v>43.908600000000575</c:v>
                </c:pt>
                <c:pt idx="976">
                  <c:v>43.908700000000579</c:v>
                </c:pt>
                <c:pt idx="977">
                  <c:v>43.908800000000582</c:v>
                </c:pt>
                <c:pt idx="978">
                  <c:v>43.908900000000585</c:v>
                </c:pt>
                <c:pt idx="979">
                  <c:v>43.909000000000589</c:v>
                </c:pt>
                <c:pt idx="980">
                  <c:v>43.909100000000592</c:v>
                </c:pt>
                <c:pt idx="981">
                  <c:v>43.909200000000595</c:v>
                </c:pt>
                <c:pt idx="982">
                  <c:v>43.909300000000599</c:v>
                </c:pt>
                <c:pt idx="983">
                  <c:v>43.909400000000602</c:v>
                </c:pt>
                <c:pt idx="984">
                  <c:v>43.909500000000605</c:v>
                </c:pt>
                <c:pt idx="985">
                  <c:v>43.909600000000609</c:v>
                </c:pt>
                <c:pt idx="986">
                  <c:v>43.909700000000612</c:v>
                </c:pt>
                <c:pt idx="987">
                  <c:v>43.909800000000615</c:v>
                </c:pt>
                <c:pt idx="988">
                  <c:v>43.909900000000619</c:v>
                </c:pt>
                <c:pt idx="989">
                  <c:v>43.910000000000622</c:v>
                </c:pt>
                <c:pt idx="990">
                  <c:v>43.910100000000625</c:v>
                </c:pt>
                <c:pt idx="991">
                  <c:v>43.910200000000629</c:v>
                </c:pt>
                <c:pt idx="992">
                  <c:v>43.910300000000632</c:v>
                </c:pt>
                <c:pt idx="993">
                  <c:v>43.910400000000635</c:v>
                </c:pt>
                <c:pt idx="994">
                  <c:v>43.910500000000638</c:v>
                </c:pt>
                <c:pt idx="995">
                  <c:v>43.910600000000642</c:v>
                </c:pt>
                <c:pt idx="996">
                  <c:v>43.910700000000645</c:v>
                </c:pt>
                <c:pt idx="997">
                  <c:v>43.910800000000648</c:v>
                </c:pt>
                <c:pt idx="998">
                  <c:v>43.910900000000652</c:v>
                </c:pt>
                <c:pt idx="999">
                  <c:v>43.911000000000655</c:v>
                </c:pt>
                <c:pt idx="1000">
                  <c:v>43.911100000000658</c:v>
                </c:pt>
              </c:numCache>
            </c:numRef>
          </c:xVal>
          <c:yVal>
            <c:numRef>
              <c:f>Calculs!$AH$4:$AH$1004</c:f>
              <c:numCache>
                <c:formatCode>0.00</c:formatCode>
                <c:ptCount val="1001"/>
                <c:pt idx="0">
                  <c:v>0</c:v>
                </c:pt>
                <c:pt idx="1">
                  <c:v>15.032988027874906</c:v>
                </c:pt>
                <c:pt idx="2">
                  <c:v>31.617614905830127</c:v>
                </c:pt>
                <c:pt idx="3">
                  <c:v>38.500381478904579</c:v>
                </c:pt>
                <c:pt idx="4">
                  <c:v>45.387334061471236</c:v>
                </c:pt>
                <c:pt idx="5">
                  <c:v>52.279164211973374</c:v>
                </c:pt>
                <c:pt idx="6">
                  <c:v>59.176559569897769</c:v>
                </c:pt>
                <c:pt idx="7">
                  <c:v>66.08020406995071</c:v>
                </c:pt>
                <c:pt idx="8">
                  <c:v>72.990778151985381</c:v>
                </c:pt>
                <c:pt idx="9">
                  <c:v>79.908958966851031</c:v>
                </c:pt>
                <c:pt idx="10">
                  <c:v>86.835420578328808</c:v>
                </c:pt>
                <c:pt idx="11">
                  <c:v>89.811886649735627</c:v>
                </c:pt>
                <c:pt idx="12">
                  <c:v>88.831412818994977</c:v>
                </c:pt>
                <c:pt idx="13">
                  <c:v>87.819246717633291</c:v>
                </c:pt>
                <c:pt idx="14">
                  <c:v>86.775359395626964</c:v>
                </c:pt>
                <c:pt idx="15">
                  <c:v>85.729891089982942</c:v>
                </c:pt>
                <c:pt idx="16">
                  <c:v>84.682866317953582</c:v>
                </c:pt>
                <c:pt idx="17">
                  <c:v>83.634309578813486</c:v>
                </c:pt>
                <c:pt idx="18">
                  <c:v>82.58424535139828</c:v>
                </c:pt>
                <c:pt idx="19">
                  <c:v>81.532698091656584</c:v>
                </c:pt>
                <c:pt idx="20">
                  <c:v>80.479692230215761</c:v>
                </c:pt>
                <c:pt idx="21">
                  <c:v>79.425252169961624</c:v>
                </c:pt>
                <c:pt idx="22">
                  <c:v>78.369402283632439</c:v>
                </c:pt>
                <c:pt idx="23">
                  <c:v>77.312166911428207</c:v>
                </c:pt>
                <c:pt idx="24">
                  <c:v>76.253570358634263</c:v>
                </c:pt>
                <c:pt idx="25">
                  <c:v>75.193636893261171</c:v>
                </c:pt>
                <c:pt idx="26">
                  <c:v>74.1323907437</c:v>
                </c:pt>
                <c:pt idx="27">
                  <c:v>73.601103830308105</c:v>
                </c:pt>
                <c:pt idx="28">
                  <c:v>73.60053630729108</c:v>
                </c:pt>
                <c:pt idx="29">
                  <c:v>73.599798100176926</c:v>
                </c:pt>
                <c:pt idx="30">
                  <c:v>73.598889052994394</c:v>
                </c:pt>
                <c:pt idx="31">
                  <c:v>73.597809012012405</c:v>
                </c:pt>
                <c:pt idx="32">
                  <c:v>73.596557825745663</c:v>
                </c:pt>
                <c:pt idx="33">
                  <c:v>73.595135344960255</c:v>
                </c:pt>
                <c:pt idx="34">
                  <c:v>73.593541422679252</c:v>
                </c:pt>
                <c:pt idx="35">
                  <c:v>73.591775914188105</c:v>
                </c:pt>
                <c:pt idx="36">
                  <c:v>73.589838677040149</c:v>
                </c:pt>
                <c:pt idx="37">
                  <c:v>73.587729571062013</c:v>
                </c:pt>
                <c:pt idx="38">
                  <c:v>73.585448458358698</c:v>
                </c:pt>
                <c:pt idx="39">
                  <c:v>73.582995147079401</c:v>
                </c:pt>
                <c:pt idx="40">
                  <c:v>73.580369439196673</c:v>
                </c:pt>
                <c:pt idx="41">
                  <c:v>73.577571196445319</c:v>
                </c:pt>
                <c:pt idx="42">
                  <c:v>73.574600282973776</c:v>
                </c:pt>
                <c:pt idx="43">
                  <c:v>73.571456565344462</c:v>
                </c:pt>
                <c:pt idx="44">
                  <c:v>73.568139912533766</c:v>
                </c:pt>
                <c:pt idx="45">
                  <c:v>73.564650195932586</c:v>
                </c:pt>
                <c:pt idx="46">
                  <c:v>73.560987289346855</c:v>
                </c:pt>
                <c:pt idx="47">
                  <c:v>73.557151068998337</c:v>
                </c:pt>
                <c:pt idx="48">
                  <c:v>73.553141413525594</c:v>
                </c:pt>
                <c:pt idx="49">
                  <c:v>73.548958203985251</c:v>
                </c:pt>
                <c:pt idx="50">
                  <c:v>73.544601323853115</c:v>
                </c:pt>
                <c:pt idx="51">
                  <c:v>73.540070659025631</c:v>
                </c:pt>
                <c:pt idx="52">
                  <c:v>73.535366097821395</c:v>
                </c:pt>
                <c:pt idx="53">
                  <c:v>73.530487530982739</c:v>
                </c:pt>
                <c:pt idx="54">
                  <c:v>73.52543485167736</c:v>
                </c:pt>
                <c:pt idx="55">
                  <c:v>73.520207955500169</c:v>
                </c:pt>
                <c:pt idx="56">
                  <c:v>73.514806740475009</c:v>
                </c:pt>
                <c:pt idx="57">
                  <c:v>73.509231107056493</c:v>
                </c:pt>
                <c:pt idx="58">
                  <c:v>73.503480958132045</c:v>
                </c:pt>
                <c:pt idx="59">
                  <c:v>73.497556199023691</c:v>
                </c:pt>
                <c:pt idx="60">
                  <c:v>73.49145673749004</c:v>
                </c:pt>
                <c:pt idx="61">
                  <c:v>73.485182483728437</c:v>
                </c:pt>
                <c:pt idx="62">
                  <c:v>73.4787333503767</c:v>
                </c:pt>
                <c:pt idx="63">
                  <c:v>73.472109252515352</c:v>
                </c:pt>
                <c:pt idx="64">
                  <c:v>73.465310107669538</c:v>
                </c:pt>
                <c:pt idx="65">
                  <c:v>73.458335835811098</c:v>
                </c:pt>
                <c:pt idx="66">
                  <c:v>73.451186359360506</c:v>
                </c:pt>
                <c:pt idx="67">
                  <c:v>73.443861603188978</c:v>
                </c:pt>
                <c:pt idx="68">
                  <c:v>73.4363614946204</c:v>
                </c:pt>
                <c:pt idx="69">
                  <c:v>73.428685963433296</c:v>
                </c:pt>
                <c:pt idx="70">
                  <c:v>73.420834941862893</c:v>
                </c:pt>
                <c:pt idx="71">
                  <c:v>73.412808364602952</c:v>
                </c:pt>
                <c:pt idx="72">
                  <c:v>73.398550931964891</c:v>
                </c:pt>
                <c:pt idx="73">
                  <c:v>73.37805474904431</c:v>
                </c:pt>
                <c:pt idx="74">
                  <c:v>73.357371696317742</c:v>
                </c:pt>
                <c:pt idx="75">
                  <c:v>73.336501809056159</c:v>
                </c:pt>
                <c:pt idx="76">
                  <c:v>73.315445125231975</c:v>
                </c:pt>
                <c:pt idx="77">
                  <c:v>73.294201685518075</c:v>
                </c:pt>
                <c:pt idx="78">
                  <c:v>73.272771533286829</c:v>
                </c:pt>
                <c:pt idx="79">
                  <c:v>73.251154714609143</c:v>
                </c:pt>
                <c:pt idx="80">
                  <c:v>73.229351278253276</c:v>
                </c:pt>
                <c:pt idx="81">
                  <c:v>73.207361275683837</c:v>
                </c:pt>
                <c:pt idx="82">
                  <c:v>73.185184761060469</c:v>
                </c:pt>
                <c:pt idx="83">
                  <c:v>73.162821791236738</c:v>
                </c:pt>
                <c:pt idx="84">
                  <c:v>73.140272425758724</c:v>
                </c:pt>
                <c:pt idx="85">
                  <c:v>73.117536726863676</c:v>
                </c:pt>
                <c:pt idx="86">
                  <c:v>73.094614759478702</c:v>
                </c:pt>
                <c:pt idx="87">
                  <c:v>73.071506591219176</c:v>
                </c:pt>
                <c:pt idx="88">
                  <c:v>73.048212292387234</c:v>
                </c:pt>
                <c:pt idx="89">
                  <c:v>73.024731935970166</c:v>
                </c:pt>
                <c:pt idx="90">
                  <c:v>73.001065597638743</c:v>
                </c:pt>
                <c:pt idx="91">
                  <c:v>72.977213355745519</c:v>
                </c:pt>
                <c:pt idx="92">
                  <c:v>72.953175291322992</c:v>
                </c:pt>
                <c:pt idx="93">
                  <c:v>72.928951488081765</c:v>
                </c:pt>
                <c:pt idx="94">
                  <c:v>72.904542032408557</c:v>
                </c:pt>
                <c:pt idx="95">
                  <c:v>72.879947013364301</c:v>
                </c:pt>
                <c:pt idx="96">
                  <c:v>72.855166522682012</c:v>
                </c:pt>
                <c:pt idx="97">
                  <c:v>72.830200654764653</c:v>
                </c:pt>
                <c:pt idx="98">
                  <c:v>72.805049506682934</c:v>
                </c:pt>
                <c:pt idx="99">
                  <c:v>72.779713178173012</c:v>
                </c:pt>
                <c:pt idx="100">
                  <c:v>72.75419177163424</c:v>
                </c:pt>
                <c:pt idx="101">
                  <c:v>72.728485392126615</c:v>
                </c:pt>
                <c:pt idx="102">
                  <c:v>72.702594147368387</c:v>
                </c:pt>
                <c:pt idx="103">
                  <c:v>72.676518147733447</c:v>
                </c:pt>
                <c:pt idx="104">
                  <c:v>72.650257506248749</c:v>
                </c:pt>
                <c:pt idx="105">
                  <c:v>72.623812338591534</c:v>
                </c:pt>
                <c:pt idx="106">
                  <c:v>72.597182763086593</c:v>
                </c:pt>
                <c:pt idx="107">
                  <c:v>72.570368900703414</c:v>
                </c:pt>
                <c:pt idx="108">
                  <c:v>72.543370875053256</c:v>
                </c:pt>
                <c:pt idx="109">
                  <c:v>72.516188812386162</c:v>
                </c:pt>
                <c:pt idx="110">
                  <c:v>72.48882284158789</c:v>
                </c:pt>
                <c:pt idx="111">
                  <c:v>72.461273094176704</c:v>
                </c:pt>
                <c:pt idx="112">
                  <c:v>72.433539704300259</c:v>
                </c:pt>
                <c:pt idx="113">
                  <c:v>72.405622808732261</c:v>
                </c:pt>
                <c:pt idx="114">
                  <c:v>72.377522546869031</c:v>
                </c:pt>
                <c:pt idx="115">
                  <c:v>72.349239060726205</c:v>
                </c:pt>
                <c:pt idx="116">
                  <c:v>72.320772494935085</c:v>
                </c:pt>
                <c:pt idx="117">
                  <c:v>72.29212299673911</c:v>
                </c:pt>
                <c:pt idx="118">
                  <c:v>72.263290715990237</c:v>
                </c:pt>
                <c:pt idx="119">
                  <c:v>72.234275805145074</c:v>
                </c:pt>
                <c:pt idx="120">
                  <c:v>72.205078419261156</c:v>
                </c:pt>
                <c:pt idx="121">
                  <c:v>72.17569871599305</c:v>
                </c:pt>
                <c:pt idx="122">
                  <c:v>72.146136855588352</c:v>
                </c:pt>
                <c:pt idx="123">
                  <c:v>72.116393000883704</c:v>
                </c:pt>
                <c:pt idx="124">
                  <c:v>72.086467317300546</c:v>
                </c:pt>
                <c:pt idx="125">
                  <c:v>72.056359972841122</c:v>
                </c:pt>
                <c:pt idx="126">
                  <c:v>72.026071138084035</c:v>
                </c:pt>
                <c:pt idx="127">
                  <c:v>71.995600986180023</c:v>
                </c:pt>
                <c:pt idx="128">
                  <c:v>71.964949692847469</c:v>
                </c:pt>
                <c:pt idx="129">
                  <c:v>71.90628765669743</c:v>
                </c:pt>
                <c:pt idx="130">
                  <c:v>71.819583707482195</c:v>
                </c:pt>
                <c:pt idx="131">
                  <c:v>71.732657185102354</c:v>
                </c:pt>
                <c:pt idx="132">
                  <c:v>71.64550876707645</c:v>
                </c:pt>
                <c:pt idx="133">
                  <c:v>71.5581391338022</c:v>
                </c:pt>
                <c:pt idx="134">
                  <c:v>71.470548968534388</c:v>
                </c:pt>
                <c:pt idx="135">
                  <c:v>71.382738957362704</c:v>
                </c:pt>
                <c:pt idx="136">
                  <c:v>71.294709789189469</c:v>
                </c:pt>
                <c:pt idx="137">
                  <c:v>71.206462155707413</c:v>
                </c:pt>
                <c:pt idx="138">
                  <c:v>71.117996751377248</c:v>
                </c:pt>
                <c:pt idx="139">
                  <c:v>71.029314273405205</c:v>
                </c:pt>
                <c:pt idx="140">
                  <c:v>70.940415421720573</c:v>
                </c:pt>
                <c:pt idx="141">
                  <c:v>70.851300898953127</c:v>
                </c:pt>
                <c:pt idx="142">
                  <c:v>70.761971410410453</c:v>
                </c:pt>
                <c:pt idx="143">
                  <c:v>70.672427664055249</c:v>
                </c:pt>
                <c:pt idx="144">
                  <c:v>70.582670370482617</c:v>
                </c:pt>
                <c:pt idx="145">
                  <c:v>70.492700242897172</c:v>
                </c:pt>
                <c:pt idx="146">
                  <c:v>70.402517997090186</c:v>
                </c:pt>
                <c:pt idx="147">
                  <c:v>70.312124351416657</c:v>
                </c:pt>
                <c:pt idx="148">
                  <c:v>70.221520026772225</c:v>
                </c:pt>
                <c:pt idx="149">
                  <c:v>70.130705746570271</c:v>
                </c:pt>
                <c:pt idx="150">
                  <c:v>70.039682236718633</c:v>
                </c:pt>
                <c:pt idx="151">
                  <c:v>69.948450225596545</c:v>
                </c:pt>
                <c:pt idx="152">
                  <c:v>69.85701044403136</c:v>
                </c:pt>
                <c:pt idx="153">
                  <c:v>69.765363625275342</c:v>
                </c:pt>
                <c:pt idx="154">
                  <c:v>69.673510504982261</c:v>
                </c:pt>
                <c:pt idx="155">
                  <c:v>69.581451821184046</c:v>
                </c:pt>
                <c:pt idx="156">
                  <c:v>69.489188314267409</c:v>
                </c:pt>
                <c:pt idx="157">
                  <c:v>69.396720726950321</c:v>
                </c:pt>
                <c:pt idx="158">
                  <c:v>69.30404980425854</c:v>
                </c:pt>
                <c:pt idx="159">
                  <c:v>69.211176293501993</c:v>
                </c:pt>
                <c:pt idx="160">
                  <c:v>69.118100944251225</c:v>
                </c:pt>
                <c:pt idx="161">
                  <c:v>69.024824508313756</c:v>
                </c:pt>
                <c:pt idx="162">
                  <c:v>68.931347739710333</c:v>
                </c:pt>
                <c:pt idx="163">
                  <c:v>68.837671394651295</c:v>
                </c:pt>
                <c:pt idx="164">
                  <c:v>68.743796231512732</c:v>
                </c:pt>
                <c:pt idx="165">
                  <c:v>68.649723010812707</c:v>
                </c:pt>
                <c:pt idx="166">
                  <c:v>68.555452495187438</c:v>
                </c:pt>
                <c:pt idx="167">
                  <c:v>68.460985449367413</c:v>
                </c:pt>
                <c:pt idx="168">
                  <c:v>68.366322640153456</c:v>
                </c:pt>
                <c:pt idx="169">
                  <c:v>68.271464836392838</c:v>
                </c:pt>
                <c:pt idx="170">
                  <c:v>68.176412808955263</c:v>
                </c:pt>
                <c:pt idx="171">
                  <c:v>68.081167330708894</c:v>
                </c:pt>
                <c:pt idx="172">
                  <c:v>67.985729176496335</c:v>
                </c:pt>
                <c:pt idx="173">
                  <c:v>67.890099123110517</c:v>
                </c:pt>
                <c:pt idx="174">
                  <c:v>67.794277949270665</c:v>
                </c:pt>
                <c:pt idx="175">
                  <c:v>67.698266435598214</c:v>
                </c:pt>
                <c:pt idx="176">
                  <c:v>67.602065364592619</c:v>
                </c:pt>
                <c:pt idx="177">
                  <c:v>67.505675520607198</c:v>
                </c:pt>
                <c:pt idx="178">
                  <c:v>67.409097689825018</c:v>
                </c:pt>
                <c:pt idx="179">
                  <c:v>67.312332660234659</c:v>
                </c:pt>
                <c:pt idx="180">
                  <c:v>67.21538122160598</c:v>
                </c:pt>
                <c:pt idx="181">
                  <c:v>67.118244165465953</c:v>
                </c:pt>
                <c:pt idx="182">
                  <c:v>67.020922285074349</c:v>
                </c:pt>
                <c:pt idx="183">
                  <c:v>66.923416375399498</c:v>
                </c:pt>
                <c:pt idx="184">
                  <c:v>66.825727233094014</c:v>
                </c:pt>
                <c:pt idx="185">
                  <c:v>66.727855656470496</c:v>
                </c:pt>
                <c:pt idx="186">
                  <c:v>66.629802445477267</c:v>
                </c:pt>
                <c:pt idx="187">
                  <c:v>66.531568401673965</c:v>
                </c:pt>
                <c:pt idx="188">
                  <c:v>66.433154328207337</c:v>
                </c:pt>
                <c:pt idx="189">
                  <c:v>66.334561029786812</c:v>
                </c:pt>
                <c:pt idx="190">
                  <c:v>66.235789312660245</c:v>
                </c:pt>
                <c:pt idx="191">
                  <c:v>66.136839984589514</c:v>
                </c:pt>
                <c:pt idx="192">
                  <c:v>66.037713854826208</c:v>
                </c:pt>
                <c:pt idx="193">
                  <c:v>65.938411734087239</c:v>
                </c:pt>
                <c:pt idx="194">
                  <c:v>65.8389344345306</c:v>
                </c:pt>
                <c:pt idx="195">
                  <c:v>65.739282769730821</c:v>
                </c:pt>
                <c:pt idx="196">
                  <c:v>65.639457554654811</c:v>
                </c:pt>
                <c:pt idx="197">
                  <c:v>65.539459605637418</c:v>
                </c:pt>
                <c:pt idx="198">
                  <c:v>65.439289740357054</c:v>
                </c:pt>
                <c:pt idx="199">
                  <c:v>65.338948777811439</c:v>
                </c:pt>
                <c:pt idx="200">
                  <c:v>65.238437538293184</c:v>
                </c:pt>
                <c:pt idx="201">
                  <c:v>65.137756843365509</c:v>
                </c:pt>
                <c:pt idx="202">
                  <c:v>65.036907515837896</c:v>
                </c:pt>
                <c:pt idx="203">
                  <c:v>64.935890379741792</c:v>
                </c:pt>
                <c:pt idx="204">
                  <c:v>64.834706260306291</c:v>
                </c:pt>
                <c:pt idx="205">
                  <c:v>64.733355983933833</c:v>
                </c:pt>
                <c:pt idx="206">
                  <c:v>64.625081562862249</c:v>
                </c:pt>
                <c:pt idx="207">
                  <c:v>64.509878326918184</c:v>
                </c:pt>
                <c:pt idx="208">
                  <c:v>64.394505099240448</c:v>
                </c:pt>
                <c:pt idx="209">
                  <c:v>64.278962840016845</c:v>
                </c:pt>
                <c:pt idx="210">
                  <c:v>64.163252510284522</c:v>
                </c:pt>
                <c:pt idx="211">
                  <c:v>64.047375071901314</c:v>
                </c:pt>
                <c:pt idx="212">
                  <c:v>63.931331487517149</c:v>
                </c:pt>
                <c:pt idx="213">
                  <c:v>63.815122720545546</c:v>
                </c:pt>
                <c:pt idx="214">
                  <c:v>63.698749735135024</c:v>
                </c:pt>
                <c:pt idx="215">
                  <c:v>63.582213496140689</c:v>
                </c:pt>
                <c:pt idx="216">
                  <c:v>63.465514969095778</c:v>
                </c:pt>
                <c:pt idx="217">
                  <c:v>63.348655120183324</c:v>
                </c:pt>
                <c:pt idx="218">
                  <c:v>63.231634916207838</c:v>
                </c:pt>
                <c:pt idx="219">
                  <c:v>63.114455324566975</c:v>
                </c:pt>
                <c:pt idx="220">
                  <c:v>62.997117313223434</c:v>
                </c:pt>
                <c:pt idx="221">
                  <c:v>62.879621850676678</c:v>
                </c:pt>
                <c:pt idx="222">
                  <c:v>62.761969905934897</c:v>
                </c:pt>
                <c:pt idx="223">
                  <c:v>62.644162448486917</c:v>
                </c:pt>
                <c:pt idx="224">
                  <c:v>62.526200448274253</c:v>
                </c:pt>
                <c:pt idx="225">
                  <c:v>62.408084875663121</c:v>
                </c:pt>
                <c:pt idx="226">
                  <c:v>62.289816701416591</c:v>
                </c:pt>
                <c:pt idx="227">
                  <c:v>62.171396896666799</c:v>
                </c:pt>
                <c:pt idx="228">
                  <c:v>62.052826432887137</c:v>
                </c:pt>
                <c:pt idx="229">
                  <c:v>61.934106281864615</c:v>
                </c:pt>
                <c:pt idx="230">
                  <c:v>61.815237415672215</c:v>
                </c:pt>
                <c:pt idx="231">
                  <c:v>61.696220806641335</c:v>
                </c:pt>
                <c:pt idx="232">
                  <c:v>61.577057427334339</c:v>
                </c:pt>
                <c:pt idx="233">
                  <c:v>61.457748250517064</c:v>
                </c:pt>
                <c:pt idx="234">
                  <c:v>61.338294249131543</c:v>
                </c:pt>
                <c:pt idx="235">
                  <c:v>61.218696396268705</c:v>
                </c:pt>
                <c:pt idx="236">
                  <c:v>61.098955665141141</c:v>
                </c:pt>
                <c:pt idx="237">
                  <c:v>60.979073029056003</c:v>
                </c:pt>
                <c:pt idx="238">
                  <c:v>60.85904946138794</c:v>
                </c:pt>
                <c:pt idx="239">
                  <c:v>60.738885935552105</c:v>
                </c:pt>
                <c:pt idx="240">
                  <c:v>60.618583424977267</c:v>
                </c:pt>
                <c:pt idx="241">
                  <c:v>60.498142903078964</c:v>
                </c:pt>
                <c:pt idx="242">
                  <c:v>60.354232775914845</c:v>
                </c:pt>
                <c:pt idx="243">
                  <c:v>60.186838619222975</c:v>
                </c:pt>
                <c:pt idx="244">
                  <c:v>60.019293990672935</c:v>
                </c:pt>
                <c:pt idx="245">
                  <c:v>59.851600335171078</c:v>
                </c:pt>
                <c:pt idx="246">
                  <c:v>59.683759096175258</c:v>
                </c:pt>
                <c:pt idx="247">
                  <c:v>59.515771715652924</c:v>
                </c:pt>
                <c:pt idx="248">
                  <c:v>59.347639634039446</c:v>
                </c:pt>
                <c:pt idx="249">
                  <c:v>59.179364290196553</c:v>
                </c:pt>
                <c:pt idx="250">
                  <c:v>59.010947121371146</c:v>
                </c:pt>
                <c:pt idx="251">
                  <c:v>58.842389563154214</c:v>
                </c:pt>
                <c:pt idx="252">
                  <c:v>58.673693049440082</c:v>
                </c:pt>
                <c:pt idx="253">
                  <c:v>58.504859012385694</c:v>
                </c:pt>
                <c:pt idx="254">
                  <c:v>58.335888882370341</c:v>
                </c:pt>
                <c:pt idx="255">
                  <c:v>58.16678408795547</c:v>
                </c:pt>
                <c:pt idx="256">
                  <c:v>57.997546055844779</c:v>
                </c:pt>
                <c:pt idx="257">
                  <c:v>57.828176210844511</c:v>
                </c:pt>
                <c:pt idx="258">
                  <c:v>57.658675975823982</c:v>
                </c:pt>
                <c:pt idx="259">
                  <c:v>57.489046771676392</c:v>
                </c:pt>
                <c:pt idx="260">
                  <c:v>57.319290017279798</c:v>
                </c:pt>
                <c:pt idx="261">
                  <c:v>57.149407129458325</c:v>
                </c:pt>
                <c:pt idx="262">
                  <c:v>56.979399522943716</c:v>
                </c:pt>
                <c:pt idx="263">
                  <c:v>56.809268610336964</c:v>
                </c:pt>
                <c:pt idx="264">
                  <c:v>56.63901580207029</c:v>
                </c:pt>
                <c:pt idx="265">
                  <c:v>56.468642506369321</c:v>
                </c:pt>
                <c:pt idx="266">
                  <c:v>56.298150129215557</c:v>
                </c:pt>
                <c:pt idx="267">
                  <c:v>56.127540074308953</c:v>
                </c:pt>
                <c:pt idx="268">
                  <c:v>55.956813743030928</c:v>
                </c:pt>
                <c:pt idx="269">
                  <c:v>55.785972534407449</c:v>
                </c:pt>
                <c:pt idx="270">
                  <c:v>55.615017845072451</c:v>
                </c:pt>
                <c:pt idx="271">
                  <c:v>55.443951069231517</c:v>
                </c:pt>
                <c:pt idx="272">
                  <c:v>55.272773598625704</c:v>
                </c:pt>
                <c:pt idx="273">
                  <c:v>55.10148682249573</c:v>
                </c:pt>
                <c:pt idx="274">
                  <c:v>54.930092127546359</c:v>
                </c:pt>
                <c:pt idx="275">
                  <c:v>54.758590897911049</c:v>
                </c:pt>
                <c:pt idx="276">
                  <c:v>54.586984515116789</c:v>
                </c:pt>
                <c:pt idx="277">
                  <c:v>54.415274358049317</c:v>
                </c:pt>
                <c:pt idx="278">
                  <c:v>54.243461802918475</c:v>
                </c:pt>
                <c:pt idx="279">
                  <c:v>54.071548223223836</c:v>
                </c:pt>
                <c:pt idx="280">
                  <c:v>53.899534989720678</c:v>
                </c:pt>
                <c:pt idx="281">
                  <c:v>53.727423470386078</c:v>
                </c:pt>
                <c:pt idx="282">
                  <c:v>53.555215030385334</c:v>
                </c:pt>
                <c:pt idx="283">
                  <c:v>53.382911032038677</c:v>
                </c:pt>
                <c:pt idx="284">
                  <c:v>53.237864391904267</c:v>
                </c:pt>
                <c:pt idx="285">
                  <c:v>53.120088748443756</c:v>
                </c:pt>
                <c:pt idx="286">
                  <c:v>53.002229732676952</c:v>
                </c:pt>
                <c:pt idx="287">
                  <c:v>52.884288190295628</c:v>
                </c:pt>
                <c:pt idx="288">
                  <c:v>52.76626496588176</c:v>
                </c:pt>
                <c:pt idx="289">
                  <c:v>52.648160902889053</c:v>
                </c:pt>
                <c:pt idx="290">
                  <c:v>52.52997684362461</c:v>
                </c:pt>
                <c:pt idx="291">
                  <c:v>52.41171362923059</c:v>
                </c:pt>
                <c:pt idx="292">
                  <c:v>52.293372099666151</c:v>
                </c:pt>
                <c:pt idx="293">
                  <c:v>52.174953093689368</c:v>
                </c:pt>
                <c:pt idx="294">
                  <c:v>52.056457448839318</c:v>
                </c:pt>
                <c:pt idx="295">
                  <c:v>51.937886001418192</c:v>
                </c:pt>
                <c:pt idx="296">
                  <c:v>51.819239586473635</c:v>
                </c:pt>
                <c:pt idx="297">
                  <c:v>51.700519037781113</c:v>
                </c:pt>
                <c:pt idx="298">
                  <c:v>51.581725187826379</c:v>
                </c:pt>
                <c:pt idx="299">
                  <c:v>51.4628588677881</c:v>
                </c:pt>
                <c:pt idx="300">
                  <c:v>51.343920907520577</c:v>
                </c:pt>
                <c:pt idx="301">
                  <c:v>51.224912135536528</c:v>
                </c:pt>
                <c:pt idx="302">
                  <c:v>51.10583337899002</c:v>
                </c:pt>
                <c:pt idx="303">
                  <c:v>50.98668546365959</c:v>
                </c:pt>
                <c:pt idx="304">
                  <c:v>50.867469213931244</c:v>
                </c:pt>
                <c:pt idx="305">
                  <c:v>50.74818545278184</c:v>
                </c:pt>
                <c:pt idx="306">
                  <c:v>50.628835001762425</c:v>
                </c:pt>
                <c:pt idx="307">
                  <c:v>50.509418680981675</c:v>
                </c:pt>
                <c:pt idx="308">
                  <c:v>50.389937309089532</c:v>
                </c:pt>
                <c:pt idx="309">
                  <c:v>50.27039170326092</c:v>
                </c:pt>
                <c:pt idx="310">
                  <c:v>50.1507826791795</c:v>
                </c:pt>
                <c:pt idx="311">
                  <c:v>50.031111051021696</c:v>
                </c:pt>
                <c:pt idx="312">
                  <c:v>49.911377631440587</c:v>
                </c:pt>
                <c:pt idx="313">
                  <c:v>49.791583231550256</c:v>
                </c:pt>
                <c:pt idx="314">
                  <c:v>49.671728660909906</c:v>
                </c:pt>
                <c:pt idx="315">
                  <c:v>49.551814727508287</c:v>
                </c:pt>
                <c:pt idx="316">
                  <c:v>49.431842237748228</c:v>
                </c:pt>
                <c:pt idx="317">
                  <c:v>49.311811996431217</c:v>
                </c:pt>
                <c:pt idx="318">
                  <c:v>49.191724806742087</c:v>
                </c:pt>
                <c:pt idx="319">
                  <c:v>49.071581470233966</c:v>
                </c:pt>
                <c:pt idx="320">
                  <c:v>48.951382786813106</c:v>
                </c:pt>
                <c:pt idx="321">
                  <c:v>48.831129554724036</c:v>
                </c:pt>
                <c:pt idx="322">
                  <c:v>48.710822570534731</c:v>
                </c:pt>
                <c:pt idx="323">
                  <c:v>48.590462629121838</c:v>
                </c:pt>
                <c:pt idx="324">
                  <c:v>48.470050523656241</c:v>
                </c:pt>
                <c:pt idx="325">
                  <c:v>48.349587045588457</c:v>
                </c:pt>
                <c:pt idx="326">
                  <c:v>48.230750648596526</c:v>
                </c:pt>
                <c:pt idx="327">
                  <c:v>48.11354261172302</c:v>
                </c:pt>
                <c:pt idx="328">
                  <c:v>47.996285603980738</c:v>
                </c:pt>
                <c:pt idx="329">
                  <c:v>47.878980383782356</c:v>
                </c:pt>
                <c:pt idx="330">
                  <c:v>47.761627707858551</c:v>
                </c:pt>
                <c:pt idx="331">
                  <c:v>47.644228331244634</c:v>
                </c:pt>
                <c:pt idx="332">
                  <c:v>47.526783007267454</c:v>
                </c:pt>
                <c:pt idx="333">
                  <c:v>47.409292487532333</c:v>
                </c:pt>
                <c:pt idx="334">
                  <c:v>47.291757521910135</c:v>
                </c:pt>
                <c:pt idx="335">
                  <c:v>47.174178858524414</c:v>
                </c:pt>
                <c:pt idx="336">
                  <c:v>47.05655724373878</c:v>
                </c:pt>
                <c:pt idx="337">
                  <c:v>46.938893422144169</c:v>
                </c:pt>
                <c:pt idx="338">
                  <c:v>46.821188136546461</c:v>
                </c:pt>
                <c:pt idx="339">
                  <c:v>46.703442127953991</c:v>
                </c:pt>
                <c:pt idx="340">
                  <c:v>46.585656135565358</c:v>
                </c:pt>
                <c:pt idx="341">
                  <c:v>46.467830896757235</c:v>
                </c:pt>
                <c:pt idx="342">
                  <c:v>46.34996714707232</c:v>
                </c:pt>
                <c:pt idx="343">
                  <c:v>46.232065620207344</c:v>
                </c:pt>
                <c:pt idx="344">
                  <c:v>46.114127048001293</c:v>
                </c:pt>
                <c:pt idx="345">
                  <c:v>45.996152160423684</c:v>
                </c:pt>
                <c:pt idx="346">
                  <c:v>45.878141685562902</c:v>
                </c:pt>
                <c:pt idx="347">
                  <c:v>45.760096349614791</c:v>
                </c:pt>
                <c:pt idx="348">
                  <c:v>45.642016876871139</c:v>
                </c:pt>
                <c:pt idx="349">
                  <c:v>45.523903989708536</c:v>
                </c:pt>
                <c:pt idx="350">
                  <c:v>45.4057584085771</c:v>
                </c:pt>
                <c:pt idx="351">
                  <c:v>45.287580851989475</c:v>
                </c:pt>
                <c:pt idx="352">
                  <c:v>45.169372036509849</c:v>
                </c:pt>
                <c:pt idx="353">
                  <c:v>45.051132676743144</c:v>
                </c:pt>
                <c:pt idx="354">
                  <c:v>44.932863485324312</c:v>
                </c:pt>
                <c:pt idx="355">
                  <c:v>44.81456517290767</c:v>
                </c:pt>
                <c:pt idx="356">
                  <c:v>44.696238448156421</c:v>
                </c:pt>
                <c:pt idx="357">
                  <c:v>44.577884017732281</c:v>
                </c:pt>
                <c:pt idx="358">
                  <c:v>44.45950258628514</c:v>
                </c:pt>
                <c:pt idx="359">
                  <c:v>44.34109485644295</c:v>
                </c:pt>
                <c:pt idx="360">
                  <c:v>44.222661528801638</c:v>
                </c:pt>
                <c:pt idx="361">
                  <c:v>44.104203301915192</c:v>
                </c:pt>
                <c:pt idx="362">
                  <c:v>43.985720872285725</c:v>
                </c:pt>
                <c:pt idx="363">
                  <c:v>43.867214934353861</c:v>
                </c:pt>
                <c:pt idx="364">
                  <c:v>43.748686180489031</c:v>
                </c:pt>
                <c:pt idx="365">
                  <c:v>43.630135300980022</c:v>
                </c:pt>
                <c:pt idx="366">
                  <c:v>43.554030943399631</c:v>
                </c:pt>
                <c:pt idx="367">
                  <c:v>43.520380320520381</c:v>
                </c:pt>
                <c:pt idx="368">
                  <c:v>43.48670034881706</c:v>
                </c:pt>
                <c:pt idx="369">
                  <c:v>43.452991217162847</c:v>
                </c:pt>
                <c:pt idx="370">
                  <c:v>43.419253114356991</c:v>
                </c:pt>
                <c:pt idx="371">
                  <c:v>43.385486229122385</c:v>
                </c:pt>
                <c:pt idx="372">
                  <c:v>43.351690750103039</c:v>
                </c:pt>
                <c:pt idx="373">
                  <c:v>43.317866865861724</c:v>
                </c:pt>
                <c:pt idx="374">
                  <c:v>43.284014764877419</c:v>
                </c:pt>
                <c:pt idx="375">
                  <c:v>43.250134635543013</c:v>
                </c:pt>
                <c:pt idx="376">
                  <c:v>43.216226666162733</c:v>
                </c:pt>
                <c:pt idx="377">
                  <c:v>43.182291044949856</c:v>
                </c:pt>
                <c:pt idx="378">
                  <c:v>43.148327960024197</c:v>
                </c:pt>
                <c:pt idx="379">
                  <c:v>43.114337599409772</c:v>
                </c:pt>
                <c:pt idx="380">
                  <c:v>43.080320151032367</c:v>
                </c:pt>
                <c:pt idx="381">
                  <c:v>43.000464764835954</c:v>
                </c:pt>
                <c:pt idx="382">
                  <c:v>42.874765786412844</c:v>
                </c:pt>
                <c:pt idx="383">
                  <c:v>42.749052659092911</c:v>
                </c:pt>
                <c:pt idx="384">
                  <c:v>42.623326103242725</c:v>
                </c:pt>
                <c:pt idx="385">
                  <c:v>42.497586836770111</c:v>
                </c:pt>
                <c:pt idx="386">
                  <c:v>42.371835575115341</c:v>
                </c:pt>
                <c:pt idx="387">
                  <c:v>42.246073031242503</c:v>
                </c:pt>
                <c:pt idx="388">
                  <c:v>42.120299915631001</c:v>
                </c:pt>
                <c:pt idx="389">
                  <c:v>41.994516936267154</c:v>
                </c:pt>
                <c:pt idx="390">
                  <c:v>41.868724798635888</c:v>
                </c:pt>
                <c:pt idx="391">
                  <c:v>41.742924205712633</c:v>
                </c:pt>
                <c:pt idx="392">
                  <c:v>41.617115857955234</c:v>
                </c:pt>
                <c:pt idx="393">
                  <c:v>41.49130045329612</c:v>
                </c:pt>
                <c:pt idx="394">
                  <c:v>41.36547868713447</c:v>
                </c:pt>
                <c:pt idx="395">
                  <c:v>41.239651252328557</c:v>
                </c:pt>
                <c:pt idx="396">
                  <c:v>41.113818839188241</c:v>
                </c:pt>
                <c:pt idx="397">
                  <c:v>40.987982135467497</c:v>
                </c:pt>
                <c:pt idx="398">
                  <c:v>40.862141826357167</c:v>
                </c:pt>
                <c:pt idx="399">
                  <c:v>40.736298594477759</c:v>
                </c:pt>
                <c:pt idx="400">
                  <c:v>40.610453119872389</c:v>
                </c:pt>
                <c:pt idx="401">
                  <c:v>40.448676064600058</c:v>
                </c:pt>
                <c:pt idx="402">
                  <c:v>40.250966175802276</c:v>
                </c:pt>
                <c:pt idx="403">
                  <c:v>40.053270426820994</c:v>
                </c:pt>
                <c:pt idx="404">
                  <c:v>39.855590053434227</c:v>
                </c:pt>
                <c:pt idx="405">
                  <c:v>39.657926285345724</c:v>
                </c:pt>
                <c:pt idx="406">
                  <c:v>39.460280346172468</c:v>
                </c:pt>
                <c:pt idx="407">
                  <c:v>39.262653453432584</c:v>
                </c:pt>
                <c:pt idx="408">
                  <c:v>39.065046818533524</c:v>
                </c:pt>
                <c:pt idx="409">
                  <c:v>38.867461646760596</c:v>
                </c:pt>
                <c:pt idx="410">
                  <c:v>38.669899137265823</c:v>
                </c:pt>
                <c:pt idx="411">
                  <c:v>38.274130637958329</c:v>
                </c:pt>
                <c:pt idx="412">
                  <c:v>37.68015842877579</c:v>
                </c:pt>
                <c:pt idx="413">
                  <c:v>37.086312577040879</c:v>
                </c:pt>
                <c:pt idx="414">
                  <c:v>36.49260002141515</c:v>
                </c:pt>
                <c:pt idx="415">
                  <c:v>35.899027649767419</c:v>
                </c:pt>
                <c:pt idx="416">
                  <c:v>35.305602299034561</c:v>
                </c:pt>
                <c:pt idx="417">
                  <c:v>34.712330755087855</c:v>
                </c:pt>
                <c:pt idx="418">
                  <c:v>34.119219752604728</c:v>
                </c:pt>
                <c:pt idx="419">
                  <c:v>33.526275974945818</c:v>
                </c:pt>
                <c:pt idx="420">
                  <c:v>32.820893049399501</c:v>
                </c:pt>
                <c:pt idx="421">
                  <c:v>32.003092572463856</c:v>
                </c:pt>
                <c:pt idx="422">
                  <c:v>31.185559538169095</c:v>
                </c:pt>
                <c:pt idx="423">
                  <c:v>30.368305603394479</c:v>
                </c:pt>
                <c:pt idx="424">
                  <c:v>29.551342327426369</c:v>
                </c:pt>
                <c:pt idx="425">
                  <c:v>28.73468117168461</c:v>
                </c:pt>
                <c:pt idx="426">
                  <c:v>27.918333499461593</c:v>
                </c:pt>
                <c:pt idx="427">
                  <c:v>27.102310575673833</c:v>
                </c:pt>
                <c:pt idx="428">
                  <c:v>26.286623566626091</c:v>
                </c:pt>
                <c:pt idx="429">
                  <c:v>25.471283539787908</c:v>
                </c:pt>
                <c:pt idx="430">
                  <c:v>24.656301463582462</c:v>
                </c:pt>
                <c:pt idx="431">
                  <c:v>23.84168820718758</c:v>
                </c:pt>
                <c:pt idx="432">
                  <c:v>22.846274489778043</c:v>
                </c:pt>
                <c:pt idx="433">
                  <c:v>21.670134157926345</c:v>
                </c:pt>
                <c:pt idx="434">
                  <c:v>20.494585475326428</c:v>
                </c:pt>
                <c:pt idx="435">
                  <c:v>19.31964987814256</c:v>
                </c:pt>
                <c:pt idx="436">
                  <c:v>18.145348594118197</c:v>
                </c:pt>
                <c:pt idx="437">
                  <c:v>16.9717026419615</c:v>
                </c:pt>
                <c:pt idx="438">
                  <c:v>15.798732830765184</c:v>
                </c:pt>
                <c:pt idx="439">
                  <c:v>14.626459759460369</c:v>
                </c:pt>
                <c:pt idx="440">
                  <c:v>13.454903816304229</c:v>
                </c:pt>
                <c:pt idx="441">
                  <c:v>12.284085178401064</c:v>
                </c:pt>
                <c:pt idx="442">
                  <c:v>11.223948443733043</c:v>
                </c:pt>
                <c:pt idx="443">
                  <c:v>10.274448719977723</c:v>
                </c:pt>
                <c:pt idx="444">
                  <c:v>9.325590106441588</c:v>
                </c:pt>
                <c:pt idx="445">
                  <c:v>8.3773852119525376</c:v>
                </c:pt>
                <c:pt idx="446">
                  <c:v>7.4298465053882428</c:v>
                </c:pt>
                <c:pt idx="447">
                  <c:v>6.482986315625884</c:v>
                </c:pt>
                <c:pt idx="448">
                  <c:v>5.5368168315083572</c:v>
                </c:pt>
                <c:pt idx="449">
                  <c:v>4.5913501018266567</c:v>
                </c:pt>
                <c:pt idx="450">
                  <c:v>3.6465980353184473</c:v>
                </c:pt>
                <c:pt idx="451">
                  <c:v>2.7025724006823997</c:v>
                </c:pt>
                <c:pt idx="452">
                  <c:v>1.7592848266083234</c:v>
                </c:pt>
                <c:pt idx="453">
                  <c:v>0.97403299497183915</c:v>
                </c:pt>
                <c:pt idx="454">
                  <c:v>0.34670527088477648</c:v>
                </c:pt>
                <c:pt idx="455">
                  <c:v>-0.28011611501741673</c:v>
                </c:pt>
                <c:pt idx="456">
                  <c:v>-0.90642670098406031</c:v>
                </c:pt>
                <c:pt idx="457">
                  <c:v>-1.5322220858517965</c:v>
                </c:pt>
                <c:pt idx="458">
                  <c:v>-2.1574979289093452</c:v>
                </c:pt>
                <c:pt idx="459">
                  <c:v>-2.782249949758564</c:v>
                </c:pt>
                <c:pt idx="460">
                  <c:v>-3.4064739281718874</c:v>
                </c:pt>
                <c:pt idx="461">
                  <c:v>-3.8886707570981875</c:v>
                </c:pt>
                <c:pt idx="462">
                  <c:v>-4.2289587174089425</c:v>
                </c:pt>
                <c:pt idx="463">
                  <c:v>-4.5689607066479008</c:v>
                </c:pt>
                <c:pt idx="464">
                  <c:v>-4.9086759621711389</c:v>
                </c:pt>
                <c:pt idx="465">
                  <c:v>-5.2481037377931861</c:v>
                </c:pt>
                <c:pt idx="466">
                  <c:v>-5.7060926695070782</c:v>
                </c:pt>
                <c:pt idx="467">
                  <c:v>-6.2825356615581356</c:v>
                </c:pt>
                <c:pt idx="468">
                  <c:v>-8.1819543410681348</c:v>
                </c:pt>
                <c:pt idx="469">
                  <c:v>-9.7834769628963638</c:v>
                </c:pt>
                <c:pt idx="470">
                  <c:v>-9.7639018785352025</c:v>
                </c:pt>
                <c:pt idx="471">
                  <c:v>-9.7443701868642876</c:v>
                </c:pt>
                <c:pt idx="472">
                  <c:v>-9.7248817637773346</c:v>
                </c:pt>
                <c:pt idx="473">
                  <c:v>-9.7054364856216182</c:v>
                </c:pt>
                <c:pt idx="474">
                  <c:v>-9.6860342291959611</c:v>
                </c:pt>
                <c:pt idx="475">
                  <c:v>-9.6666748717487412</c:v>
                </c:pt>
                <c:pt idx="476">
                  <c:v>-9.6473582909759514</c:v>
                </c:pt>
                <c:pt idx="477">
                  <c:v>-9.6280843650192001</c:v>
                </c:pt>
                <c:pt idx="478">
                  <c:v>-9.6088529724637795</c:v>
                </c:pt>
                <c:pt idx="479">
                  <c:v>-9.5896639923367175</c:v>
                </c:pt>
                <c:pt idx="480">
                  <c:v>-9.5705173041048361</c:v>
                </c:pt>
                <c:pt idx="481">
                  <c:v>-9.5514127876728327</c:v>
                </c:pt>
                <c:pt idx="482">
                  <c:v>-9.5323503233813796</c:v>
                </c:pt>
                <c:pt idx="483">
                  <c:v>-9.5133297920051998</c:v>
                </c:pt>
                <c:pt idx="484">
                  <c:v>-9.4943510747511848</c:v>
                </c:pt>
                <c:pt idx="485">
                  <c:v>-9.475414053256511</c:v>
                </c:pt>
                <c:pt idx="486">
                  <c:v>-9.4565186095867535</c:v>
                </c:pt>
                <c:pt idx="487">
                  <c:v>-9.4376646262340351</c:v>
                </c:pt>
                <c:pt idx="488">
                  <c:v>-9.4188519861151612</c:v>
                </c:pt>
                <c:pt idx="489">
                  <c:v>-9.4000805725697809</c:v>
                </c:pt>
                <c:pt idx="490">
                  <c:v>-9.3813502693585473</c:v>
                </c:pt>
                <c:pt idx="491">
                  <c:v>-9.3626609606612838</c:v>
                </c:pt>
                <c:pt idx="492">
                  <c:v>-9.344012531075176</c:v>
                </c:pt>
                <c:pt idx="493">
                  <c:v>-9.3254048656129491</c:v>
                </c:pt>
                <c:pt idx="494">
                  <c:v>-9.3068378497011022</c:v>
                </c:pt>
                <c:pt idx="495">
                  <c:v>-9.2883113691780625</c:v>
                </c:pt>
                <c:pt idx="496">
                  <c:v>-9.2698253102924593</c:v>
                </c:pt>
                <c:pt idx="497">
                  <c:v>-9.2513795597013093</c:v>
                </c:pt>
                <c:pt idx="498">
                  <c:v>-9.2329740044682858</c:v>
                </c:pt>
                <c:pt idx="499">
                  <c:v>-9.2146085320619378</c:v>
                </c:pt>
                <c:pt idx="500">
                  <c:v>-9.1962830303539604</c:v>
                </c:pt>
                <c:pt idx="501">
                  <c:v>-9.177997387617463</c:v>
                </c:pt>
                <c:pt idx="502">
                  <c:v>-8.9965985062256859</c:v>
                </c:pt>
                <c:pt idx="503">
                  <c:v>-8.8191029179398619</c:v>
                </c:pt>
                <c:pt idx="504">
                  <c:v>-8.6454034746673845</c:v>
                </c:pt>
                <c:pt idx="505">
                  <c:v>-8.4753967743263914</c:v>
                </c:pt>
                <c:pt idx="506">
                  <c:v>-8.3089830043104609</c:v>
                </c:pt>
                <c:pt idx="507">
                  <c:v>-8.1460657925829363</c:v>
                </c:pt>
                <c:pt idx="508">
                  <c:v>-7.9865520659772988</c:v>
                </c:pt>
                <c:pt idx="509">
                  <c:v>-7.8303519153064416</c:v>
                </c:pt>
                <c:pt idx="510">
                  <c:v>-7.6773784669080518</c:v>
                </c:pt>
                <c:pt idx="511">
                  <c:v>-7.5275477602764607</c:v>
                </c:pt>
                <c:pt idx="512">
                  <c:v>-7.380778631452336</c:v>
                </c:pt>
                <c:pt idx="513">
                  <c:v>-7.2369926018617106</c:v>
                </c:pt>
                <c:pt idx="514">
                  <c:v>-7.0961137723141778</c:v>
                </c:pt>
                <c:pt idx="515">
                  <c:v>-6.958068721887618</c:v>
                </c:pt>
                <c:pt idx="516">
                  <c:v>-6.8227864114427357</c:v>
                </c:pt>
                <c:pt idx="517">
                  <c:v>-6.6901980915260344</c:v>
                </c:pt>
                <c:pt idx="518">
                  <c:v>-6.5602372144338235</c:v>
                </c:pt>
                <c:pt idx="519">
                  <c:v>-6.4328393502231362</c:v>
                </c:pt>
                <c:pt idx="520">
                  <c:v>-6.3079421064677419</c:v>
                </c:pt>
                <c:pt idx="521">
                  <c:v>-6.1854850515690494</c:v>
                </c:pt>
                <c:pt idx="522">
                  <c:v>-6.0654096414425833</c:v>
                </c:pt>
                <c:pt idx="523">
                  <c:v>-5.9476591494106872</c:v>
                </c:pt>
                <c:pt idx="524">
                  <c:v>-5.8321785991418711</c:v>
                </c:pt>
                <c:pt idx="525">
                  <c:v>-5.7189147004859429</c:v>
                </c:pt>
                <c:pt idx="526">
                  <c:v>-5.6078157880625188</c:v>
                </c:pt>
                <c:pt idx="527">
                  <c:v>-5.4988317624684226</c:v>
                </c:pt>
                <c:pt idx="528">
                  <c:v>-5.3919140339767182</c:v>
                </c:pt>
                <c:pt idx="529">
                  <c:v>-5.2870154686071738</c:v>
                </c:pt>
                <c:pt idx="530">
                  <c:v>-5.1840903364544388</c:v>
                </c:pt>
                <c:pt idx="531">
                  <c:v>-5.083094262166286</c:v>
                </c:pt>
                <c:pt idx="532">
                  <c:v>-4.9839841774701057</c:v>
                </c:pt>
                <c:pt idx="533">
                  <c:v>-4.8867182756511758</c:v>
                </c:pt>
                <c:pt idx="534">
                  <c:v>-4.7912559678914013</c:v>
                </c:pt>
                <c:pt idx="535">
                  <c:v>-4.6975578413819479</c:v>
                </c:pt>
                <c:pt idx="536">
                  <c:v>-4.6055856191278082</c:v>
                </c:pt>
                <c:pt idx="537">
                  <c:v>-4.5153021213664495</c:v>
                </c:pt>
                <c:pt idx="538">
                  <c:v>-4.4266712285268861</c:v>
                </c:pt>
                <c:pt idx="539">
                  <c:v>-4.339657845659123</c:v>
                </c:pt>
                <c:pt idx="540">
                  <c:v>-4.2542278682676571</c:v>
                </c:pt>
                <c:pt idx="541">
                  <c:v>-4.1703481494859451</c:v>
                </c:pt>
                <c:pt idx="542">
                  <c:v>-4.0879864685320255</c:v>
                </c:pt>
                <c:pt idx="543">
                  <c:v>-4.0071115003884064</c:v>
                </c:pt>
                <c:pt idx="544">
                  <c:v>-3.9276927866522606</c:v>
                </c:pt>
                <c:pt idx="545">
                  <c:v>-3.8497007075045362</c:v>
                </c:pt>
                <c:pt idx="546">
                  <c:v>-3.7731064547491973</c:v>
                </c:pt>
                <c:pt idx="547">
                  <c:v>-3.6978820058762016</c:v>
                </c:pt>
                <c:pt idx="548">
                  <c:v>-3.6240000991040118</c:v>
                </c:pt>
                <c:pt idx="549">
                  <c:v>-3.5514342093596887</c:v>
                </c:pt>
                <c:pt idx="550">
                  <c:v>-3.4801585251565355</c:v>
                </c:pt>
                <c:pt idx="551">
                  <c:v>-3.4101479263312493</c:v>
                </c:pt>
                <c:pt idx="552">
                  <c:v>-3.3413779626043216</c:v>
                </c:pt>
                <c:pt idx="553">
                  <c:v>-3.2738248329291433</c:v>
                </c:pt>
                <c:pt idx="554">
                  <c:v>-3.2074653655969283</c:v>
                </c:pt>
                <c:pt idx="555">
                  <c:v>-3.1422769990660844</c:v>
                </c:pt>
                <c:pt idx="556">
                  <c:v>-3.0782377634861429</c:v>
                </c:pt>
                <c:pt idx="557">
                  <c:v>-3.0153262628877164</c:v>
                </c:pt>
                <c:pt idx="558">
                  <c:v>-2.9535216580113377</c:v>
                </c:pt>
                <c:pt idx="559">
                  <c:v>-2.8928036497491729</c:v>
                </c:pt>
                <c:pt idx="560">
                  <c:v>-2.8331524631749283</c:v>
                </c:pt>
                <c:pt idx="561">
                  <c:v>-2.7745488321382483</c:v>
                </c:pt>
                <c:pt idx="562">
                  <c:v>-2.7169739844010876</c:v>
                </c:pt>
                <c:pt idx="563">
                  <c:v>-2.6604096272944817</c:v>
                </c:pt>
                <c:pt idx="564">
                  <c:v>-2.6048379338751642</c:v>
                </c:pt>
                <c:pt idx="565">
                  <c:v>-2.5502415295623191</c:v>
                </c:pt>
                <c:pt idx="566">
                  <c:v>-2.4966034792357163</c:v>
                </c:pt>
                <c:pt idx="567">
                  <c:v>-2.4439072747772337</c:v>
                </c:pt>
                <c:pt idx="568">
                  <c:v>-2.3921368230385909</c:v>
                </c:pt>
                <c:pt idx="569">
                  <c:v>-2.3412764342188788</c:v>
                </c:pt>
                <c:pt idx="570">
                  <c:v>-2.2913108106361455</c:v>
                </c:pt>
                <c:pt idx="571">
                  <c:v>-2.242225035878008</c:v>
                </c:pt>
                <c:pt idx="572">
                  <c:v>-2.1940045643169039</c:v>
                </c:pt>
                <c:pt idx="573">
                  <c:v>-2.1466352109761888</c:v>
                </c:pt>
                <c:pt idx="574">
                  <c:v>-2.1001031417338951</c:v>
                </c:pt>
                <c:pt idx="575">
                  <c:v>-2.0543948638515208</c:v>
                </c:pt>
                <c:pt idx="576">
                  <c:v>-2.009497216815721</c:v>
                </c:pt>
                <c:pt idx="577">
                  <c:v>-1.965397363481334</c:v>
                </c:pt>
                <c:pt idx="578">
                  <c:v>-1.9220827815046078</c:v>
                </c:pt>
                <c:pt idx="579">
                  <c:v>-1.8795412550559683</c:v>
                </c:pt>
                <c:pt idx="580">
                  <c:v>-1.8377608668021173</c:v>
                </c:pt>
                <c:pt idx="581">
                  <c:v>-1.796729990147671</c:v>
                </c:pt>
                <c:pt idx="582">
                  <c:v>-1.7564372817269072</c:v>
                </c:pt>
                <c:pt idx="583">
                  <c:v>-1.716871674136633</c:v>
                </c:pt>
                <c:pt idx="584">
                  <c:v>-1.6780223689014886</c:v>
                </c:pt>
                <c:pt idx="585">
                  <c:v>-1.6398788296633888</c:v>
                </c:pt>
                <c:pt idx="586">
                  <c:v>-1.6024307755871137</c:v>
                </c:pt>
                <c:pt idx="587">
                  <c:v>-1.5656681749743746</c:v>
                </c:pt>
                <c:pt idx="588">
                  <c:v>-1.5295812390789938</c:v>
                </c:pt>
                <c:pt idx="589">
                  <c:v>-1.4941604161161133</c:v>
                </c:pt>
                <c:pt idx="590">
                  <c:v>-1.4593963854586147</c:v>
                </c:pt>
                <c:pt idx="591">
                  <c:v>-1.4252800520142166</c:v>
                </c:pt>
                <c:pt idx="592">
                  <c:v>-1.3918025407769334</c:v>
                </c:pt>
                <c:pt idx="593">
                  <c:v>-1.3589551915468401</c:v>
                </c:pt>
                <c:pt idx="594">
                  <c:v>-1.3267295538123016</c:v>
                </c:pt>
                <c:pt idx="595">
                  <c:v>-1.2951173817890476</c:v>
                </c:pt>
                <c:pt idx="596">
                  <c:v>-1.264110629610667</c:v>
                </c:pt>
                <c:pt idx="597">
                  <c:v>-1.2337014466653091</c:v>
                </c:pt>
                <c:pt idx="598">
                  <c:v>-1.2038821730735476</c:v>
                </c:pt>
                <c:pt idx="599">
                  <c:v>-1.1746453353025508</c:v>
                </c:pt>
                <c:pt idx="600">
                  <c:v>-1.1459836419118636</c:v>
                </c:pt>
                <c:pt idx="601">
                  <c:v>-1.1178899794262778</c:v>
                </c:pt>
                <c:pt idx="602">
                  <c:v>-1.0903574083313956</c:v>
                </c:pt>
                <c:pt idx="603">
                  <c:v>-1.0633791591876665</c:v>
                </c:pt>
                <c:pt idx="604">
                  <c:v>-1.0369486288587828</c:v>
                </c:pt>
                <c:pt idx="605">
                  <c:v>-1.0110593768504779</c:v>
                </c:pt>
                <c:pt idx="606">
                  <c:v>-0.98570512175585911</c:v>
                </c:pt>
                <c:pt idx="607">
                  <c:v>-0.96087973780355684</c:v>
                </c:pt>
                <c:pt idx="608">
                  <c:v>-0.93657725150505378</c:v>
                </c:pt>
                <c:pt idx="609">
                  <c:v>-0.91279183839766764</c:v>
                </c:pt>
                <c:pt idx="610">
                  <c:v>-0.88951781987976031</c:v>
                </c:pt>
                <c:pt idx="611">
                  <c:v>-0.86674966013482579</c:v>
                </c:pt>
                <c:pt idx="612">
                  <c:v>-0.8444819631411955</c:v>
                </c:pt>
                <c:pt idx="613">
                  <c:v>-0.82270946976417259</c:v>
                </c:pt>
                <c:pt idx="614">
                  <c:v>-0.80142705492748756</c:v>
                </c:pt>
                <c:pt idx="615">
                  <c:v>-0.78062972486100324</c:v>
                </c:pt>
                <c:pt idx="616">
                  <c:v>-0.76031261442168951</c:v>
                </c:pt>
                <c:pt idx="617">
                  <c:v>-0.740470984484914</c:v>
                </c:pt>
                <c:pt idx="618">
                  <c:v>-0.72110021940314661</c:v>
                </c:pt>
                <c:pt idx="619">
                  <c:v>-0.70219582452922591</c:v>
                </c:pt>
                <c:pt idx="620">
                  <c:v>-0.68375342380134896</c:v>
                </c:pt>
                <c:pt idx="621">
                  <c:v>-0.66576875738699803</c:v>
                </c:pt>
                <c:pt idx="622">
                  <c:v>-0.6482376793830199</c:v>
                </c:pt>
                <c:pt idx="623">
                  <c:v>-0.63115615556910198</c:v>
                </c:pt>
                <c:pt idx="624">
                  <c:v>-0.6145202612118994</c:v>
                </c:pt>
                <c:pt idx="625">
                  <c:v>-0.59832617891707418</c:v>
                </c:pt>
                <c:pt idx="626">
                  <c:v>-0.58257019652650466</c:v>
                </c:pt>
                <c:pt idx="627">
                  <c:v>-0.56724870505792924</c:v>
                </c:pt>
                <c:pt idx="628">
                  <c:v>-0.55235819668427455</c:v>
                </c:pt>
                <c:pt idx="629">
                  <c:v>-0.53789526274991173</c:v>
                </c:pt>
                <c:pt idx="630">
                  <c:v>-0.52385659182106703</c:v>
                </c:pt>
                <c:pt idx="631">
                  <c:v>-0.51023896776759758</c:v>
                </c:pt>
                <c:pt idx="632">
                  <c:v>-0.49703926787332864</c:v>
                </c:pt>
                <c:pt idx="633">
                  <c:v>-0.48425446097211744</c:v>
                </c:pt>
                <c:pt idx="634">
                  <c:v>-0.4718816056068002</c:v>
                </c:pt>
                <c:pt idx="635">
                  <c:v>-0.45991784820815318</c:v>
                </c:pt>
                <c:pt idx="636">
                  <c:v>-0.44836042129098413</c:v>
                </c:pt>
                <c:pt idx="637">
                  <c:v>-0.43720664166444884</c:v>
                </c:pt>
                <c:pt idx="638">
                  <c:v>-0.42645390865369787</c:v>
                </c:pt>
                <c:pt idx="639">
                  <c:v>-0.41609970232993126</c:v>
                </c:pt>
                <c:pt idx="640">
                  <c:v>-0.40614158174597292</c:v>
                </c:pt>
                <c:pt idx="641">
                  <c:v>-0.39657718317447715</c:v>
                </c:pt>
                <c:pt idx="642">
                  <c:v>-0.38740421834592287</c:v>
                </c:pt>
                <c:pt idx="643">
                  <c:v>-0.37862047268359689</c:v>
                </c:pt>
                <c:pt idx="644">
                  <c:v>-0.37022380353283935</c:v>
                </c:pt>
                <c:pt idx="645">
                  <c:v>-0.36221213838190847</c:v>
                </c:pt>
                <c:pt idx="646">
                  <c:v>-0.35458347307194465</c:v>
                </c:pt>
                <c:pt idx="647">
                  <c:v>-0.34733586999364718</c:v>
                </c:pt>
                <c:pt idx="648">
                  <c:v>-0.34046745626845204</c:v>
                </c:pt>
                <c:pt idx="649">
                  <c:v>-0.33397642191219751</c:v>
                </c:pt>
                <c:pt idx="650">
                  <c:v>-0.32786101797950362</c:v>
                </c:pt>
                <c:pt idx="651">
                  <c:v>-0.32211955468734921</c:v>
                </c:pt>
                <c:pt idx="652">
                  <c:v>-0.31675039951664608</c:v>
                </c:pt>
                <c:pt idx="653">
                  <c:v>-0.31175197529093335</c:v>
                </c:pt>
                <c:pt idx="654">
                  <c:v>-0.30712275823169116</c:v>
                </c:pt>
                <c:pt idx="655">
                  <c:v>-0.30286127599016843</c:v>
                </c:pt>
                <c:pt idx="656">
                  <c:v>-0.29896610565604115</c:v>
                </c:pt>
                <c:pt idx="657">
                  <c:v>-0.29543587174366964</c:v>
                </c:pt>
                <c:pt idx="658">
                  <c:v>-0.2922692441571792</c:v>
                </c:pt>
                <c:pt idx="659">
                  <c:v>-0.28946493613606022</c:v>
                </c:pt>
                <c:pt idx="660">
                  <c:v>-0.28702170218345652</c:v>
                </c:pt>
                <c:pt idx="661">
                  <c:v>-0.28493833597977075</c:v>
                </c:pt>
                <c:pt idx="662">
                  <c:v>-0.28321366828465999</c:v>
                </c:pt>
                <c:pt idx="663">
                  <c:v>-0.28184656483091558</c:v>
                </c:pt>
                <c:pt idx="664">
                  <c:v>-0.28083592421409531</c:v>
                </c:pt>
                <c:pt idx="665">
                  <c:v>-0.28018067578211758</c:v>
                </c:pt>
                <c:pt idx="666">
                  <c:v>-0.27987977752930382</c:v>
                </c:pt>
                <c:pt idx="667">
                  <c:v>-0.27993221399957141</c:v>
                </c:pt>
                <c:pt idx="668">
                  <c:v>-0.28033699420363606</c:v>
                </c:pt>
                <c:pt idx="669">
                  <c:v>-0.28109314955516113</c:v>
                </c:pt>
                <c:pt idx="670">
                  <c:v>-0.28219973183079594</c:v>
                </c:pt>
                <c:pt idx="671">
                  <c:v>-0.28365581115898458</c:v>
                </c:pt>
                <c:pt idx="672">
                  <c:v>-0.28546047404228719</c:v>
                </c:pt>
                <c:pt idx="673">
                  <c:v>-0.28761282141775474</c:v>
                </c:pt>
                <c:pt idx="674">
                  <c:v>-0.29011196675963419</c:v>
                </c:pt>
                <c:pt idx="675">
                  <c:v>-0.29295703422836261</c:v>
                </c:pt>
                <c:pt idx="676">
                  <c:v>-0.29614715686945048</c:v>
                </c:pt>
                <c:pt idx="677">
                  <c:v>-0.29968147486545121</c:v>
                </c:pt>
                <c:pt idx="678">
                  <c:v>-0.30355913384379518</c:v>
                </c:pt>
                <c:pt idx="679">
                  <c:v>-0.30777928324282056</c:v>
                </c:pt>
                <c:pt idx="680">
                  <c:v>-0.31234107473789235</c:v>
                </c:pt>
                <c:pt idx="681">
                  <c:v>-0.31724366072905136</c:v>
                </c:pt>
                <c:pt idx="682">
                  <c:v>-0.32248619289119967</c:v>
                </c:pt>
                <c:pt idx="683">
                  <c:v>-0.32806782078741636</c:v>
                </c:pt>
                <c:pt idx="684">
                  <c:v>-0.3339876905455933</c:v>
                </c:pt>
                <c:pt idx="685">
                  <c:v>-0.34024494359822499</c:v>
                </c:pt>
                <c:pt idx="686">
                  <c:v>-0.34683871548483958</c:v>
                </c:pt>
                <c:pt idx="687">
                  <c:v>-0.35376813471626628</c:v>
                </c:pt>
                <c:pt idx="688">
                  <c:v>-0.36103232169965904</c:v>
                </c:pt>
                <c:pt idx="689">
                  <c:v>-0.36863038772297041</c:v>
                </c:pt>
                <c:pt idx="690">
                  <c:v>-0.37656143399737291</c:v>
                </c:pt>
                <c:pt idx="691">
                  <c:v>-0.38482455075595884</c:v>
                </c:pt>
                <c:pt idx="692">
                  <c:v>-0.39341881640692322</c:v>
                </c:pt>
                <c:pt idx="693">
                  <c:v>-0.40234329673933433</c:v>
                </c:pt>
                <c:pt idx="694">
                  <c:v>-0.41159704417951959</c:v>
                </c:pt>
                <c:pt idx="695">
                  <c:v>-0.42117909709605439</c:v>
                </c:pt>
                <c:pt idx="696">
                  <c:v>-0.43108847915130849</c:v>
                </c:pt>
                <c:pt idx="697">
                  <c:v>-0.44132419869750739</c:v>
                </c:pt>
                <c:pt idx="698">
                  <c:v>-0.45188524821527126</c:v>
                </c:pt>
                <c:pt idx="699">
                  <c:v>-0.4627706037926268</c:v>
                </c:pt>
                <c:pt idx="700">
                  <c:v>-0.47397922464252062</c:v>
                </c:pt>
                <c:pt idx="701">
                  <c:v>-0.4855100526569191</c:v>
                </c:pt>
                <c:pt idx="702">
                  <c:v>-0.49736201199562596</c:v>
                </c:pt>
                <c:pt idx="703">
                  <c:v>-0.50953400870802867</c:v>
                </c:pt>
                <c:pt idx="704">
                  <c:v>-0.52202493038603148</c:v>
                </c:pt>
                <c:pt idx="705">
                  <c:v>-0.53483364584652859</c:v>
                </c:pt>
                <c:pt idx="706">
                  <c:v>-0.54795900484182458</c:v>
                </c:pt>
                <c:pt idx="707">
                  <c:v>-0.56139983779649294</c:v>
                </c:pt>
                <c:pt idx="708">
                  <c:v>-0.57515495556924157</c:v>
                </c:pt>
                <c:pt idx="709">
                  <c:v>-0.58922314923841934</c:v>
                </c:pt>
                <c:pt idx="710">
                  <c:v>-0.60360318990987893</c:v>
                </c:pt>
                <c:pt idx="711">
                  <c:v>-0.61829382854597792</c:v>
                </c:pt>
                <c:pt idx="712">
                  <c:v>-0.63329379581457279</c:v>
                </c:pt>
                <c:pt idx="713">
                  <c:v>-0.64860180195692507</c:v>
                </c:pt>
                <c:pt idx="714">
                  <c:v>-0.66421653667350189</c:v>
                </c:pt>
                <c:pt idx="715">
                  <c:v>-0.6801366690267231</c:v>
                </c:pt>
                <c:pt idx="716">
                  <c:v>-0.69636084735975379</c:v>
                </c:pt>
                <c:pt idx="717">
                  <c:v>-0.71288769923050599</c:v>
                </c:pt>
                <c:pt idx="718">
                  <c:v>-0.72971583136006579</c:v>
                </c:pt>
                <c:pt idx="719">
                  <c:v>-0.74684382959480677</c:v>
                </c:pt>
                <c:pt idx="720">
                  <c:v>-0.76427025888150601</c:v>
                </c:pt>
                <c:pt idx="721">
                  <c:v>-0.78199366325481368</c:v>
                </c:pt>
                <c:pt idx="722">
                  <c:v>-0.80001256583648195</c:v>
                </c:pt>
                <c:pt idx="723">
                  <c:v>-0.81832546884578594</c:v>
                </c:pt>
                <c:pt idx="724">
                  <c:v>-0.83693085362061592</c:v>
                </c:pt>
                <c:pt idx="725">
                  <c:v>-0.85582718064874763</c:v>
                </c:pt>
                <c:pt idx="726">
                  <c:v>-0.8750128896088335</c:v>
                </c:pt>
                <c:pt idx="727">
                  <c:v>-0.89448639942069019</c:v>
                </c:pt>
                <c:pt idx="728">
                  <c:v>-0.91424610830448028</c:v>
                </c:pt>
                <c:pt idx="729">
                  <c:v>-0.93429039384841661</c:v>
                </c:pt>
                <c:pt idx="730">
                  <c:v>-0.95461761308463688</c:v>
                </c:pt>
                <c:pt idx="731">
                  <c:v>-0.9752261025729333</c:v>
                </c:pt>
                <c:pt idx="732">
                  <c:v>-0.99611417849201989</c:v>
                </c:pt>
                <c:pt idx="733">
                  <c:v>-1.0172801367380599</c:v>
                </c:pt>
                <c:pt idx="734">
                  <c:v>-1.0387222530301874</c:v>
                </c:pt>
                <c:pt idx="735">
                  <c:v>-1.0604387830227708</c:v>
                </c:pt>
                <c:pt idx="736">
                  <c:v>-1.0824279624241882</c:v>
                </c:pt>
                <c:pt idx="737">
                  <c:v>-1.1046880071218874</c:v>
                </c:pt>
                <c:pt idx="738">
                  <c:v>-1.1272171133135387</c:v>
                </c:pt>
                <c:pt idx="739">
                  <c:v>-1.1500134576440715</c:v>
                </c:pt>
                <c:pt idx="740">
                  <c:v>-1.1730751973484292</c:v>
                </c:pt>
                <c:pt idx="741">
                  <c:v>-1.1964004703998556</c:v>
                </c:pt>
                <c:pt idx="742">
                  <c:v>-1.2199873956635685</c:v>
                </c:pt>
                <c:pt idx="743">
                  <c:v>-1.2438340730556539</c:v>
                </c:pt>
                <c:pt idx="744">
                  <c:v>-1.2679385837070494</c:v>
                </c:pt>
                <c:pt idx="745">
                  <c:v>-1.2922989901324731</c:v>
                </c:pt>
                <c:pt idx="746">
                  <c:v>-1.3169133364041719</c:v>
                </c:pt>
                <c:pt idx="747">
                  <c:v>-1.3417796483303759</c:v>
                </c:pt>
                <c:pt idx="748">
                  <c:v>-1.366895933638328</c:v>
                </c:pt>
                <c:pt idx="749">
                  <c:v>-1.3922601821617906</c:v>
                </c:pt>
                <c:pt idx="750">
                  <c:v>-1.4178703660329204</c:v>
                </c:pt>
                <c:pt idx="751">
                  <c:v>-1.4437244398784159</c:v>
                </c:pt>
                <c:pt idx="752">
                  <c:v>-1.4698203410198267</c:v>
                </c:pt>
                <c:pt idx="753">
                  <c:v>-1.4961559896779608</c:v>
                </c:pt>
                <c:pt idx="754">
                  <c:v>-1.5227292891812656</c:v>
                </c:pt>
                <c:pt idx="755">
                  <c:v>-1.5495381261781316</c:v>
                </c:pt>
                <c:pt idx="756">
                  <c:v>-1.5765803708530144</c:v>
                </c:pt>
                <c:pt idx="757">
                  <c:v>-1.603853877146306</c:v>
                </c:pt>
                <c:pt idx="758">
                  <c:v>-1.6313564829778751</c:v>
                </c:pt>
                <c:pt idx="759">
                  <c:v>-1.6590860104741971</c:v>
                </c:pt>
                <c:pt idx="760">
                  <c:v>-1.6870402661990163</c:v>
                </c:pt>
                <c:pt idx="761">
                  <c:v>-1.7152170413874526</c:v>
                </c:pt>
                <c:pt idx="762">
                  <c:v>-1.7436141121834912</c:v>
                </c:pt>
                <c:pt idx="763">
                  <c:v>-1.7722292398807882</c:v>
                </c:pt>
                <c:pt idx="764">
                  <c:v>-1.8010601711667162</c:v>
                </c:pt>
                <c:pt idx="765">
                  <c:v>-1.8301046383696093</c:v>
                </c:pt>
                <c:pt idx="766">
                  <c:v>-1.8593603597090995</c:v>
                </c:pt>
                <c:pt idx="767">
                  <c:v>-1.8888250395495327</c:v>
                </c:pt>
                <c:pt idx="768">
                  <c:v>-1.9184963686563514</c:v>
                </c:pt>
                <c:pt idx="769">
                  <c:v>-1.9483720244554232</c:v>
                </c:pt>
                <c:pt idx="770">
                  <c:v>-1.9784496712952249</c:v>
                </c:pt>
                <c:pt idx="771">
                  <c:v>-2.008726960711829</c:v>
                </c:pt>
                <c:pt idx="772">
                  <c:v>-2.0392015316966381</c:v>
                </c:pt>
                <c:pt idx="773">
                  <c:v>-2.0698710109667959</c:v>
                </c:pt>
                <c:pt idx="774">
                  <c:v>-2.1007330132382145</c:v>
                </c:pt>
                <c:pt idx="775">
                  <c:v>-2.1317851415011715</c:v>
                </c:pt>
                <c:pt idx="776">
                  <c:v>-2.1630249872983902</c:v>
                </c:pt>
                <c:pt idx="777">
                  <c:v>-2.1944501310055586</c:v>
                </c:pt>
                <c:pt idx="778">
                  <c:v>-2.2260581421142316</c:v>
                </c:pt>
                <c:pt idx="779">
                  <c:v>-2.2578465795170355</c:v>
                </c:pt>
                <c:pt idx="780">
                  <c:v>-2.2898129917951291</c:v>
                </c:pt>
                <c:pt idx="781">
                  <c:v>-2.3219549175078451</c:v>
                </c:pt>
                <c:pt idx="782">
                  <c:v>-2.354269885484471</c:v>
                </c:pt>
                <c:pt idx="783">
                  <c:v>-2.3867554151180816</c:v>
                </c:pt>
                <c:pt idx="784">
                  <c:v>-2.4194090166613758</c:v>
                </c:pt>
                <c:pt idx="785">
                  <c:v>-2.4522281915244508</c:v>
                </c:pt>
                <c:pt idx="786">
                  <c:v>-2.4852104325744508</c:v>
                </c:pt>
                <c:pt idx="787">
                  <c:v>-2.5183532244370102</c:v>
                </c:pt>
                <c:pt idx="788">
                  <c:v>-2.5516540437994681</c:v>
                </c:pt>
                <c:pt idx="789">
                  <c:v>-2.5851103597157263</c:v>
                </c:pt>
                <c:pt idx="790">
                  <c:v>-2.6187196339127472</c:v>
                </c:pt>
                <c:pt idx="791">
                  <c:v>-2.6524793210985838</c:v>
                </c:pt>
                <c:pt idx="792">
                  <c:v>-2.6863868692718893</c:v>
                </c:pt>
                <c:pt idx="793">
                  <c:v>-2.7204397200328461</c:v>
                </c:pt>
                <c:pt idx="794">
                  <c:v>-2.7546353088954261</c:v>
                </c:pt>
                <c:pt idx="795">
                  <c:v>-2.7889710656009359</c:v>
                </c:pt>
                <c:pt idx="796">
                  <c:v>-2.8234444144327697</c:v>
                </c:pt>
                <c:pt idx="797">
                  <c:v>-2.8580527745322919</c:v>
                </c:pt>
                <c:pt idx="798">
                  <c:v>-2.8927935602157913</c:v>
                </c:pt>
                <c:pt idx="799">
                  <c:v>-2.9276641812924309</c:v>
                </c:pt>
                <c:pt idx="800">
                  <c:v>-2.9626620433831308</c:v>
                </c:pt>
                <c:pt idx="801">
                  <c:v>-2.9977845482402965</c:v>
                </c:pt>
                <c:pt idx="802">
                  <c:v>-3.0330290940683353</c:v>
                </c:pt>
                <c:pt idx="803">
                  <c:v>-3.0683930758448836</c:v>
                </c:pt>
                <c:pt idx="804">
                  <c:v>-3.1038738856426753</c:v>
                </c:pt>
                <c:pt idx="805">
                  <c:v>-3.1394689129519726</c:v>
                </c:pt>
                <c:pt idx="806">
                  <c:v>-3.1751755450034911</c:v>
                </c:pt>
                <c:pt idx="807">
                  <c:v>-3.2109911670917453</c:v>
                </c:pt>
                <c:pt idx="808">
                  <c:v>-3.2469131628987311</c:v>
                </c:pt>
                <c:pt idx="809">
                  <c:v>-3.2829389148178967</c:v>
                </c:pt>
                <c:pt idx="810">
                  <c:v>-3.3190658042782806</c:v>
                </c:pt>
                <c:pt idx="811">
                  <c:v>-3.3552912120688023</c:v>
                </c:pt>
                <c:pt idx="812">
                  <c:v>-3.3916125186625798</c:v>
                </c:pt>
                <c:pt idx="813">
                  <c:v>-3.4280271045412145</c:v>
                </c:pt>
                <c:pt idx="814">
                  <c:v>-3.4645323505189869</c:v>
                </c:pt>
                <c:pt idx="815">
                  <c:v>-3.5011256380668536</c:v>
                </c:pt>
                <c:pt idx="816">
                  <c:v>-3.5378043496362022</c:v>
                </c:pt>
                <c:pt idx="817">
                  <c:v>-3.5745658689822606</c:v>
                </c:pt>
                <c:pt idx="818">
                  <c:v>-3.6114075814870974</c:v>
                </c:pt>
                <c:pt idx="819">
                  <c:v>-3.6483268744821546</c:v>
                </c:pt>
                <c:pt idx="820">
                  <c:v>-3.685321137570194</c:v>
                </c:pt>
                <c:pt idx="821">
                  <c:v>-3.7223877629466173</c:v>
                </c:pt>
                <c:pt idx="822">
                  <c:v>-3.759524145720067</c:v>
                </c:pt>
                <c:pt idx="823">
                  <c:v>-3.796727684232247</c:v>
                </c:pt>
                <c:pt idx="824">
                  <c:v>-3.8339957803768572</c:v>
                </c:pt>
                <c:pt idx="825">
                  <c:v>-3.8713258399176089</c:v>
                </c:pt>
                <c:pt idx="826">
                  <c:v>-3.9087152728051908</c:v>
                </c:pt>
                <c:pt idx="827">
                  <c:v>-3.9461614934931739</c:v>
                </c:pt>
                <c:pt idx="828">
                  <c:v>-3.9836619212527098</c:v>
                </c:pt>
                <c:pt idx="829">
                  <c:v>-4.021213980486019</c:v>
                </c:pt>
                <c:pt idx="830">
                  <c:v>-4.0588151010385332</c:v>
                </c:pt>
                <c:pt idx="831">
                  <c:v>-4.0964627185096525</c:v>
                </c:pt>
                <c:pt idx="832">
                  <c:v>-4.1341542745620234</c:v>
                </c:pt>
                <c:pt idx="833">
                  <c:v>-4.1718872172292869</c:v>
                </c:pt>
                <c:pt idx="834">
                  <c:v>-4.2096590012222075</c:v>
                </c:pt>
                <c:pt idx="835">
                  <c:v>-4.2474670882330852</c:v>
                </c:pt>
                <c:pt idx="836">
                  <c:v>-4.2853089472384474</c:v>
                </c:pt>
                <c:pt idx="837">
                  <c:v>-4.3231820547998598</c:v>
                </c:pt>
                <c:pt idx="838">
                  <c:v>-4.361083895362869</c:v>
                </c:pt>
                <c:pt idx="839">
                  <c:v>-4.3990119615539491</c:v>
                </c:pt>
                <c:pt idx="840">
                  <c:v>-4.4369637544753813</c:v>
                </c:pt>
                <c:pt idx="841">
                  <c:v>-4.474936783998043</c:v>
                </c:pt>
                <c:pt idx="842">
                  <c:v>-4.512928569052014</c:v>
                </c:pt>
                <c:pt idx="843">
                  <c:v>-4.5509366379148846</c:v>
                </c:pt>
                <c:pt idx="844">
                  <c:v>-4.5889585284977725</c:v>
                </c:pt>
                <c:pt idx="845">
                  <c:v>-4.6269917886289464</c:v>
                </c:pt>
                <c:pt idx="846">
                  <c:v>-4.6650339763349766</c:v>
                </c:pt>
                <c:pt idx="847">
                  <c:v>-4.7030826601193771</c:v>
                </c:pt>
                <c:pt idx="848">
                  <c:v>-4.7411354192386437</c:v>
                </c:pt>
                <c:pt idx="849">
                  <c:v>-4.7791898439756544</c:v>
                </c:pt>
                <c:pt idx="850">
                  <c:v>-4.8172435359103449</c:v>
                </c:pt>
                <c:pt idx="851">
                  <c:v>-4.8552941081876178</c:v>
                </c:pt>
                <c:pt idx="852">
                  <c:v>-4.8933391857824029</c:v>
                </c:pt>
                <c:pt idx="853">
                  <c:v>-4.9313764057618208</c:v>
                </c:pt>
                <c:pt idx="854">
                  <c:v>-4.969403417544398</c:v>
                </c:pt>
                <c:pt idx="855">
                  <c:v>-5.0074178831562586</c:v>
                </c:pt>
                <c:pt idx="856">
                  <c:v>-5.0454174774842464</c:v>
                </c:pt>
                <c:pt idx="857">
                  <c:v>-5.0833998885259204</c:v>
                </c:pt>
                <c:pt idx="858">
                  <c:v>-5.1213628176363679</c:v>
                </c:pt>
                <c:pt idx="859">
                  <c:v>-5.1593039797717735</c:v>
                </c:pt>
                <c:pt idx="860">
                  <c:v>-5.1972211037297171</c:v>
                </c:pt>
                <c:pt idx="861">
                  <c:v>-5.2351119323861095</c:v>
                </c:pt>
                <c:pt idx="862">
                  <c:v>-5.2729742229287604</c:v>
                </c:pt>
                <c:pt idx="863">
                  <c:v>-5.3108057470874908</c:v>
                </c:pt>
                <c:pt idx="864">
                  <c:v>-5.348604291360755</c:v>
                </c:pt>
                <c:pt idx="865">
                  <c:v>-5.3863676572387593</c:v>
                </c:pt>
                <c:pt idx="866">
                  <c:v>-5.4240936614229582</c:v>
                </c:pt>
                <c:pt idx="867">
                  <c:v>-5.4617801360419742</c:v>
                </c:pt>
                <c:pt idx="868">
                  <c:v>-5.4994249288638217</c:v>
                </c:pt>
                <c:pt idx="869">
                  <c:v>-5.5370259035044196</c:v>
                </c:pt>
                <c:pt idx="870">
                  <c:v>-5.5745809396324066</c:v>
                </c:pt>
                <c:pt idx="871">
                  <c:v>-5.6120879331701081</c:v>
                </c:pt>
                <c:pt idx="872">
                  <c:v>-5.6495447964907335</c:v>
                </c:pt>
                <c:pt idx="873">
                  <c:v>-5.6869494586116787</c:v>
                </c:pt>
                <c:pt idx="874">
                  <c:v>-5.7242998653839701</c:v>
                </c:pt>
                <c:pt idx="875">
                  <c:v>-5.7615939796777615</c:v>
                </c:pt>
                <c:pt idx="876">
                  <c:v>-5.798829781563887</c:v>
                </c:pt>
                <c:pt idx="877">
                  <c:v>-5.8360052684914114</c:v>
                </c:pt>
                <c:pt idx="878">
                  <c:v>-5.8731184554612046</c:v>
                </c:pt>
                <c:pt idx="879">
                  <c:v>-5.9101673751954076</c:v>
                </c:pt>
                <c:pt idx="880">
                  <c:v>-5.9471500783029061</c:v>
                </c:pt>
                <c:pt idx="881">
                  <c:v>-5.984064633440676</c:v>
                </c:pt>
                <c:pt idx="882">
                  <c:v>-6.0209091274709854</c:v>
                </c:pt>
                <c:pt idx="883">
                  <c:v>-6.0576816656145231</c:v>
                </c:pt>
                <c:pt idx="884">
                  <c:v>-6.0943803715993141</c:v>
                </c:pt>
                <c:pt idx="885">
                  <c:v>-6.1310033878055181</c:v>
                </c:pt>
                <c:pt idx="886">
                  <c:v>-6.1675488754059549</c:v>
                </c:pt>
                <c:pt idx="887">
                  <c:v>-6.204015014502513</c:v>
                </c:pt>
                <c:pt idx="888">
                  <c:v>-6.2404000042582757</c:v>
                </c:pt>
                <c:pt idx="889">
                  <c:v>-6.2767020630254438</c:v>
                </c:pt>
                <c:pt idx="890">
                  <c:v>-6.3129194284689847</c:v>
                </c:pt>
                <c:pt idx="891">
                  <c:v>-6.3129554664956258</c:v>
                </c:pt>
                <c:pt idx="892">
                  <c:v>-6.3129915044360416</c:v>
                </c:pt>
                <c:pt idx="893">
                  <c:v>-6.313027542290234</c:v>
                </c:pt>
                <c:pt idx="894">
                  <c:v>-6.3130635800581967</c:v>
                </c:pt>
                <c:pt idx="895">
                  <c:v>-6.3130996177399306</c:v>
                </c:pt>
                <c:pt idx="896">
                  <c:v>-6.3131356553354339</c:v>
                </c:pt>
                <c:pt idx="897">
                  <c:v>-6.313171692844703</c:v>
                </c:pt>
                <c:pt idx="898">
                  <c:v>-6.3132077302677327</c:v>
                </c:pt>
                <c:pt idx="899">
                  <c:v>-6.3132437676045328</c:v>
                </c:pt>
                <c:pt idx="900">
                  <c:v>-6.3132798048550915</c:v>
                </c:pt>
                <c:pt idx="901">
                  <c:v>-6.3133158420194118</c:v>
                </c:pt>
                <c:pt idx="902">
                  <c:v>-6.313351879097489</c:v>
                </c:pt>
                <c:pt idx="903">
                  <c:v>-6.3133879160893231</c:v>
                </c:pt>
                <c:pt idx="904">
                  <c:v>-6.3134239529949108</c:v>
                </c:pt>
                <c:pt idx="905">
                  <c:v>-6.3134599898142518</c:v>
                </c:pt>
                <c:pt idx="906">
                  <c:v>-6.3134960265473454</c:v>
                </c:pt>
                <c:pt idx="907">
                  <c:v>-6.3135320631941871</c:v>
                </c:pt>
                <c:pt idx="908">
                  <c:v>-6.3135680997547778</c:v>
                </c:pt>
                <c:pt idx="909">
                  <c:v>-6.3136041362291158</c:v>
                </c:pt>
                <c:pt idx="910">
                  <c:v>-6.3136401726171991</c:v>
                </c:pt>
                <c:pt idx="911">
                  <c:v>-6.3136762089190226</c:v>
                </c:pt>
                <c:pt idx="912">
                  <c:v>-6.3137122451345888</c:v>
                </c:pt>
                <c:pt idx="913">
                  <c:v>-6.3137482812638952</c:v>
                </c:pt>
                <c:pt idx="914">
                  <c:v>-6.3137843173069372</c:v>
                </c:pt>
                <c:pt idx="915">
                  <c:v>-6.3138203532637149</c:v>
                </c:pt>
                <c:pt idx="916">
                  <c:v>-6.3138563891342283</c:v>
                </c:pt>
                <c:pt idx="917">
                  <c:v>-6.3138924249184765</c:v>
                </c:pt>
                <c:pt idx="918">
                  <c:v>-6.313928460616455</c:v>
                </c:pt>
                <c:pt idx="919">
                  <c:v>-6.3139644962281603</c:v>
                </c:pt>
                <c:pt idx="920">
                  <c:v>-6.3140005317535968</c:v>
                </c:pt>
                <c:pt idx="921">
                  <c:v>-6.3140365671927556</c:v>
                </c:pt>
                <c:pt idx="922">
                  <c:v>-6.3140726025456395</c:v>
                </c:pt>
                <c:pt idx="923">
                  <c:v>-6.3141086378122475</c:v>
                </c:pt>
                <c:pt idx="924">
                  <c:v>-6.3141446729925743</c:v>
                </c:pt>
                <c:pt idx="925">
                  <c:v>-6.3141807080866181</c:v>
                </c:pt>
                <c:pt idx="926">
                  <c:v>-6.3142167430943816</c:v>
                </c:pt>
                <c:pt idx="927">
                  <c:v>-6.3142527780158595</c:v>
                </c:pt>
                <c:pt idx="928">
                  <c:v>-6.3142888128510535</c:v>
                </c:pt>
                <c:pt idx="929">
                  <c:v>-6.3143248475999583</c:v>
                </c:pt>
                <c:pt idx="930">
                  <c:v>-6.3143608822625739</c:v>
                </c:pt>
                <c:pt idx="931">
                  <c:v>-6.314396916838894</c:v>
                </c:pt>
                <c:pt idx="932">
                  <c:v>-6.314432951328925</c:v>
                </c:pt>
                <c:pt idx="933">
                  <c:v>-6.3144689857326641</c:v>
                </c:pt>
                <c:pt idx="934">
                  <c:v>-6.3145050200501025</c:v>
                </c:pt>
                <c:pt idx="935">
                  <c:v>-6.314541054281241</c:v>
                </c:pt>
                <c:pt idx="936">
                  <c:v>-6.314577088426085</c:v>
                </c:pt>
                <c:pt idx="937">
                  <c:v>-6.3146131224846229</c:v>
                </c:pt>
                <c:pt idx="938">
                  <c:v>-6.3146491564568592</c:v>
                </c:pt>
                <c:pt idx="939">
                  <c:v>-6.3146851903427939</c:v>
                </c:pt>
                <c:pt idx="940">
                  <c:v>-6.3147212241424153</c:v>
                </c:pt>
                <c:pt idx="941">
                  <c:v>-6.3147572578557343</c:v>
                </c:pt>
                <c:pt idx="942">
                  <c:v>-6.3147932914827418</c:v>
                </c:pt>
                <c:pt idx="943">
                  <c:v>-6.314829325023438</c:v>
                </c:pt>
                <c:pt idx="944">
                  <c:v>-6.3148653584778183</c:v>
                </c:pt>
                <c:pt idx="945">
                  <c:v>-6.3149013918458854</c:v>
                </c:pt>
                <c:pt idx="946">
                  <c:v>-6.3149374251276349</c:v>
                </c:pt>
                <c:pt idx="947">
                  <c:v>-6.3149734583230659</c:v>
                </c:pt>
                <c:pt idx="948">
                  <c:v>-6.3150094914321766</c:v>
                </c:pt>
                <c:pt idx="949">
                  <c:v>-6.3150455244549599</c:v>
                </c:pt>
                <c:pt idx="950">
                  <c:v>-6.3150815573914274</c:v>
                </c:pt>
                <c:pt idx="951">
                  <c:v>-6.3151175902415666</c:v>
                </c:pt>
                <c:pt idx="952">
                  <c:v>-6.3151536230053757</c:v>
                </c:pt>
                <c:pt idx="953">
                  <c:v>-6.3151896556828593</c:v>
                </c:pt>
                <c:pt idx="954">
                  <c:v>-6.3152256882740128</c:v>
                </c:pt>
                <c:pt idx="955">
                  <c:v>-6.3152617207788317</c:v>
                </c:pt>
                <c:pt idx="956">
                  <c:v>-6.3152977531973153</c:v>
                </c:pt>
                <c:pt idx="957">
                  <c:v>-6.3153337855294671</c:v>
                </c:pt>
                <c:pt idx="958">
                  <c:v>-6.3153698177752782</c:v>
                </c:pt>
                <c:pt idx="959">
                  <c:v>-6.3154058499347538</c:v>
                </c:pt>
                <c:pt idx="960">
                  <c:v>-6.3154418820078835</c:v>
                </c:pt>
                <c:pt idx="961">
                  <c:v>-6.3154779139946751</c:v>
                </c:pt>
                <c:pt idx="962">
                  <c:v>-6.3155139458951188</c:v>
                </c:pt>
                <c:pt idx="963">
                  <c:v>-6.315549977709221</c:v>
                </c:pt>
                <c:pt idx="964">
                  <c:v>-6.3155860094369745</c:v>
                </c:pt>
                <c:pt idx="965">
                  <c:v>-6.3156220410783739</c:v>
                </c:pt>
                <c:pt idx="966">
                  <c:v>-6.3156580726334246</c:v>
                </c:pt>
                <c:pt idx="967">
                  <c:v>-6.3156941041021248</c:v>
                </c:pt>
                <c:pt idx="968">
                  <c:v>-6.3157301354844666</c:v>
                </c:pt>
                <c:pt idx="969">
                  <c:v>-6.3157661667804534</c:v>
                </c:pt>
                <c:pt idx="970">
                  <c:v>-6.3158021979900845</c:v>
                </c:pt>
                <c:pt idx="971">
                  <c:v>-6.3158382291133535</c:v>
                </c:pt>
                <c:pt idx="972">
                  <c:v>-6.3158742601502631</c:v>
                </c:pt>
                <c:pt idx="973">
                  <c:v>-6.3159102911008063</c:v>
                </c:pt>
                <c:pt idx="974">
                  <c:v>-6.3159463219649883</c:v>
                </c:pt>
                <c:pt idx="975">
                  <c:v>-6.3159823527428038</c:v>
                </c:pt>
                <c:pt idx="976">
                  <c:v>-6.3160183834342485</c:v>
                </c:pt>
                <c:pt idx="977">
                  <c:v>-6.316054414039324</c:v>
                </c:pt>
                <c:pt idx="978">
                  <c:v>-6.3160904445580286</c:v>
                </c:pt>
                <c:pt idx="979">
                  <c:v>-6.3161264749903614</c:v>
                </c:pt>
                <c:pt idx="980">
                  <c:v>-6.3161625053363153</c:v>
                </c:pt>
                <c:pt idx="981">
                  <c:v>-6.3161985355958929</c:v>
                </c:pt>
                <c:pt idx="982">
                  <c:v>-6.3162345657690961</c:v>
                </c:pt>
                <c:pt idx="983">
                  <c:v>-6.316270595855916</c:v>
                </c:pt>
                <c:pt idx="984">
                  <c:v>-6.3163066258563525</c:v>
                </c:pt>
                <c:pt idx="985">
                  <c:v>-6.3163426557704083</c:v>
                </c:pt>
                <c:pt idx="986">
                  <c:v>-6.3163786855980772</c:v>
                </c:pt>
                <c:pt idx="987">
                  <c:v>-6.3164147153393611</c:v>
                </c:pt>
                <c:pt idx="988">
                  <c:v>-6.3164507449942562</c:v>
                </c:pt>
                <c:pt idx="989">
                  <c:v>-6.3164867745627564</c:v>
                </c:pt>
                <c:pt idx="990">
                  <c:v>-6.3165228040448689</c:v>
                </c:pt>
                <c:pt idx="991">
                  <c:v>-6.3165588334405856</c:v>
                </c:pt>
                <c:pt idx="992">
                  <c:v>-6.31659486274991</c:v>
                </c:pt>
                <c:pt idx="993">
                  <c:v>-6.3166308919728369</c:v>
                </c:pt>
                <c:pt idx="994">
                  <c:v>-6.3166669211093618</c:v>
                </c:pt>
                <c:pt idx="995">
                  <c:v>-6.3167029501594865</c:v>
                </c:pt>
                <c:pt idx="996">
                  <c:v>-6.3167389791232109</c:v>
                </c:pt>
                <c:pt idx="997">
                  <c:v>-6.3167750080005272</c:v>
                </c:pt>
                <c:pt idx="998">
                  <c:v>-6.3168110367914423</c:v>
                </c:pt>
                <c:pt idx="999">
                  <c:v>-6.3168470654959457</c:v>
                </c:pt>
                <c:pt idx="1000">
                  <c:v>-6.3168830941140408</c:v>
                </c:pt>
              </c:numCache>
            </c:numRef>
          </c:yVal>
          <c:smooth val="0"/>
          <c:extLst>
            <c:ext xmlns:c16="http://schemas.microsoft.com/office/drawing/2014/chart" uri="{C3380CC4-5D6E-409C-BE32-E72D297353CC}">
              <c16:uniqueId val="{00000001-2879-444D-95E8-1EF697772180}"/>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43.900100000000293</c:v>
                </c:pt>
                <c:pt idx="891">
                  <c:v>43.900200000000297</c:v>
                </c:pt>
                <c:pt idx="892">
                  <c:v>43.9003000000003</c:v>
                </c:pt>
                <c:pt idx="893">
                  <c:v>43.900400000000303</c:v>
                </c:pt>
                <c:pt idx="894">
                  <c:v>43.900500000000306</c:v>
                </c:pt>
                <c:pt idx="895">
                  <c:v>43.90060000000031</c:v>
                </c:pt>
                <c:pt idx="896">
                  <c:v>43.900700000000313</c:v>
                </c:pt>
                <c:pt idx="897">
                  <c:v>43.900800000000316</c:v>
                </c:pt>
                <c:pt idx="898">
                  <c:v>43.90090000000032</c:v>
                </c:pt>
                <c:pt idx="899">
                  <c:v>43.901000000000323</c:v>
                </c:pt>
                <c:pt idx="900">
                  <c:v>43.901100000000326</c:v>
                </c:pt>
                <c:pt idx="901">
                  <c:v>43.90120000000033</c:v>
                </c:pt>
                <c:pt idx="902">
                  <c:v>43.901300000000333</c:v>
                </c:pt>
                <c:pt idx="903">
                  <c:v>43.901400000000336</c:v>
                </c:pt>
                <c:pt idx="904">
                  <c:v>43.90150000000034</c:v>
                </c:pt>
                <c:pt idx="905">
                  <c:v>43.901600000000343</c:v>
                </c:pt>
                <c:pt idx="906">
                  <c:v>43.901700000000346</c:v>
                </c:pt>
                <c:pt idx="907">
                  <c:v>43.90180000000035</c:v>
                </c:pt>
                <c:pt idx="908">
                  <c:v>43.901900000000353</c:v>
                </c:pt>
                <c:pt idx="909">
                  <c:v>43.902000000000356</c:v>
                </c:pt>
                <c:pt idx="910">
                  <c:v>43.90210000000036</c:v>
                </c:pt>
                <c:pt idx="911">
                  <c:v>43.902200000000363</c:v>
                </c:pt>
                <c:pt idx="912">
                  <c:v>43.902300000000366</c:v>
                </c:pt>
                <c:pt idx="913">
                  <c:v>43.90240000000037</c:v>
                </c:pt>
                <c:pt idx="914">
                  <c:v>43.902500000000373</c:v>
                </c:pt>
                <c:pt idx="915">
                  <c:v>43.902600000000376</c:v>
                </c:pt>
                <c:pt idx="916">
                  <c:v>43.90270000000038</c:v>
                </c:pt>
                <c:pt idx="917">
                  <c:v>43.902800000000383</c:v>
                </c:pt>
                <c:pt idx="918">
                  <c:v>43.902900000000386</c:v>
                </c:pt>
                <c:pt idx="919">
                  <c:v>43.903000000000389</c:v>
                </c:pt>
                <c:pt idx="920">
                  <c:v>43.903100000000393</c:v>
                </c:pt>
                <c:pt idx="921">
                  <c:v>43.903200000000396</c:v>
                </c:pt>
                <c:pt idx="922">
                  <c:v>43.903300000000399</c:v>
                </c:pt>
                <c:pt idx="923">
                  <c:v>43.903400000000403</c:v>
                </c:pt>
                <c:pt idx="924">
                  <c:v>43.903500000000406</c:v>
                </c:pt>
                <c:pt idx="925">
                  <c:v>43.903600000000409</c:v>
                </c:pt>
                <c:pt idx="926">
                  <c:v>43.903700000000413</c:v>
                </c:pt>
                <c:pt idx="927">
                  <c:v>43.903800000000416</c:v>
                </c:pt>
                <c:pt idx="928">
                  <c:v>43.903900000000419</c:v>
                </c:pt>
                <c:pt idx="929">
                  <c:v>43.904000000000423</c:v>
                </c:pt>
                <c:pt idx="930">
                  <c:v>43.904100000000426</c:v>
                </c:pt>
                <c:pt idx="931">
                  <c:v>43.904200000000429</c:v>
                </c:pt>
                <c:pt idx="932">
                  <c:v>43.904300000000433</c:v>
                </c:pt>
                <c:pt idx="933">
                  <c:v>43.904400000000436</c:v>
                </c:pt>
                <c:pt idx="934">
                  <c:v>43.904500000000439</c:v>
                </c:pt>
                <c:pt idx="935">
                  <c:v>43.904600000000443</c:v>
                </c:pt>
                <c:pt idx="936">
                  <c:v>43.904700000000446</c:v>
                </c:pt>
                <c:pt idx="937">
                  <c:v>43.904800000000449</c:v>
                </c:pt>
                <c:pt idx="938">
                  <c:v>43.904900000000453</c:v>
                </c:pt>
                <c:pt idx="939">
                  <c:v>43.905000000000456</c:v>
                </c:pt>
                <c:pt idx="940">
                  <c:v>43.905100000000459</c:v>
                </c:pt>
                <c:pt idx="941">
                  <c:v>43.905200000000463</c:v>
                </c:pt>
                <c:pt idx="942">
                  <c:v>43.905300000000466</c:v>
                </c:pt>
                <c:pt idx="943">
                  <c:v>43.905400000000469</c:v>
                </c:pt>
                <c:pt idx="944">
                  <c:v>43.905500000000472</c:v>
                </c:pt>
                <c:pt idx="945">
                  <c:v>43.905600000000476</c:v>
                </c:pt>
                <c:pt idx="946">
                  <c:v>43.905700000000479</c:v>
                </c:pt>
                <c:pt idx="947">
                  <c:v>43.905800000000482</c:v>
                </c:pt>
                <c:pt idx="948">
                  <c:v>43.905900000000486</c:v>
                </c:pt>
                <c:pt idx="949">
                  <c:v>43.906000000000489</c:v>
                </c:pt>
                <c:pt idx="950">
                  <c:v>43.906100000000492</c:v>
                </c:pt>
                <c:pt idx="951">
                  <c:v>43.906200000000496</c:v>
                </c:pt>
                <c:pt idx="952">
                  <c:v>43.906300000000499</c:v>
                </c:pt>
                <c:pt idx="953">
                  <c:v>43.906400000000502</c:v>
                </c:pt>
                <c:pt idx="954">
                  <c:v>43.906500000000506</c:v>
                </c:pt>
                <c:pt idx="955">
                  <c:v>43.906600000000509</c:v>
                </c:pt>
                <c:pt idx="956">
                  <c:v>43.906700000000512</c:v>
                </c:pt>
                <c:pt idx="957">
                  <c:v>43.906800000000516</c:v>
                </c:pt>
                <c:pt idx="958">
                  <c:v>43.906900000000519</c:v>
                </c:pt>
                <c:pt idx="959">
                  <c:v>43.907000000000522</c:v>
                </c:pt>
                <c:pt idx="960">
                  <c:v>43.907100000000526</c:v>
                </c:pt>
                <c:pt idx="961">
                  <c:v>43.907200000000529</c:v>
                </c:pt>
                <c:pt idx="962">
                  <c:v>43.907300000000532</c:v>
                </c:pt>
                <c:pt idx="963">
                  <c:v>43.907400000000536</c:v>
                </c:pt>
                <c:pt idx="964">
                  <c:v>43.907500000000539</c:v>
                </c:pt>
                <c:pt idx="965">
                  <c:v>43.907600000000542</c:v>
                </c:pt>
                <c:pt idx="966">
                  <c:v>43.907700000000546</c:v>
                </c:pt>
                <c:pt idx="967">
                  <c:v>43.907800000000549</c:v>
                </c:pt>
                <c:pt idx="968">
                  <c:v>43.907900000000552</c:v>
                </c:pt>
                <c:pt idx="969">
                  <c:v>43.908000000000555</c:v>
                </c:pt>
                <c:pt idx="970">
                  <c:v>43.908100000000559</c:v>
                </c:pt>
                <c:pt idx="971">
                  <c:v>43.908200000000562</c:v>
                </c:pt>
                <c:pt idx="972">
                  <c:v>43.908300000000565</c:v>
                </c:pt>
                <c:pt idx="973">
                  <c:v>43.908400000000569</c:v>
                </c:pt>
                <c:pt idx="974">
                  <c:v>43.908500000000572</c:v>
                </c:pt>
                <c:pt idx="975">
                  <c:v>43.908600000000575</c:v>
                </c:pt>
                <c:pt idx="976">
                  <c:v>43.908700000000579</c:v>
                </c:pt>
                <c:pt idx="977">
                  <c:v>43.908800000000582</c:v>
                </c:pt>
                <c:pt idx="978">
                  <c:v>43.908900000000585</c:v>
                </c:pt>
                <c:pt idx="979">
                  <c:v>43.909000000000589</c:v>
                </c:pt>
                <c:pt idx="980">
                  <c:v>43.909100000000592</c:v>
                </c:pt>
                <c:pt idx="981">
                  <c:v>43.909200000000595</c:v>
                </c:pt>
                <c:pt idx="982">
                  <c:v>43.909300000000599</c:v>
                </c:pt>
                <c:pt idx="983">
                  <c:v>43.909400000000602</c:v>
                </c:pt>
                <c:pt idx="984">
                  <c:v>43.909500000000605</c:v>
                </c:pt>
                <c:pt idx="985">
                  <c:v>43.909600000000609</c:v>
                </c:pt>
                <c:pt idx="986">
                  <c:v>43.909700000000612</c:v>
                </c:pt>
                <c:pt idx="987">
                  <c:v>43.909800000000615</c:v>
                </c:pt>
                <c:pt idx="988">
                  <c:v>43.909900000000619</c:v>
                </c:pt>
                <c:pt idx="989">
                  <c:v>43.910000000000622</c:v>
                </c:pt>
                <c:pt idx="990">
                  <c:v>43.910100000000625</c:v>
                </c:pt>
                <c:pt idx="991">
                  <c:v>43.910200000000629</c:v>
                </c:pt>
                <c:pt idx="992">
                  <c:v>43.910300000000632</c:v>
                </c:pt>
                <c:pt idx="993">
                  <c:v>43.910400000000635</c:v>
                </c:pt>
                <c:pt idx="994">
                  <c:v>43.910500000000638</c:v>
                </c:pt>
                <c:pt idx="995">
                  <c:v>43.910600000000642</c:v>
                </c:pt>
                <c:pt idx="996">
                  <c:v>43.910700000000645</c:v>
                </c:pt>
                <c:pt idx="997">
                  <c:v>43.910800000000648</c:v>
                </c:pt>
                <c:pt idx="998">
                  <c:v>43.910900000000652</c:v>
                </c:pt>
                <c:pt idx="999">
                  <c:v>43.911000000000655</c:v>
                </c:pt>
                <c:pt idx="1000">
                  <c:v>43.911100000000658</c:v>
                </c:pt>
              </c:numCache>
            </c:numRef>
          </c:xVal>
          <c:yVal>
            <c:numRef>
              <c:f>Calculs!$J$4:$J$1004</c:f>
              <c:numCache>
                <c:formatCode>0.00</c:formatCode>
                <c:ptCount val="1001"/>
                <c:pt idx="0">
                  <c:v>0</c:v>
                </c:pt>
                <c:pt idx="1">
                  <c:v>4.6635792022015819E-5</c:v>
                </c:pt>
                <c:pt idx="2">
                  <c:v>3.3053071122203872E-4</c:v>
                </c:pt>
                <c:pt idx="3">
                  <c:v>1.05542840233453E-3</c:v>
                </c:pt>
                <c:pt idx="4">
                  <c:v>2.3408774114336492E-3</c:v>
                </c:pt>
                <c:pt idx="5">
                  <c:v>4.30650497443269E-3</c:v>
                </c:pt>
                <c:pt idx="6">
                  <c:v>7.0720289912428996E-3</c:v>
                </c:pt>
                <c:pt idx="7">
                  <c:v>1.0757269933738345E-2</c:v>
                </c:pt>
                <c:pt idx="8">
                  <c:v>1.5482162691208855E-2</c:v>
                </c:pt>
                <c:pt idx="9">
                  <c:v>2.1366768356910766E-2</c:v>
                </c:pt>
                <c:pt idx="10">
                  <c:v>2.8531285959255831E-2</c:v>
                </c:pt>
                <c:pt idx="11">
                  <c:v>3.7061692603555962E-2</c:v>
                </c:pt>
                <c:pt idx="12">
                  <c:v>4.697531747071082E-2</c:v>
                </c:pt>
                <c:pt idx="13">
                  <c:v>5.8254860481949264E-2</c:v>
                </c:pt>
                <c:pt idx="14">
                  <c:v>7.0882471003096081E-2</c:v>
                </c:pt>
                <c:pt idx="15">
                  <c:v>8.4840009270433614E-2</c:v>
                </c:pt>
                <c:pt idx="16">
                  <c:v>0.10010930828076549</c:v>
                </c:pt>
                <c:pt idx="17">
                  <c:v>0.11667217421698536</c:v>
                </c:pt>
                <c:pt idx="18">
                  <c:v>0.13451038687331207</c:v>
                </c:pt>
                <c:pt idx="19">
                  <c:v>0.15360570008014851</c:v>
                </c:pt>
                <c:pt idx="20">
                  <c:v>0.17393984212852193</c:v>
                </c:pt>
                <c:pt idx="21">
                  <c:v>0.19549451619406341</c:v>
                </c:pt>
                <c:pt idx="22">
                  <c:v>0.21825140076048477</c:v>
                </c:pt>
                <c:pt idx="23">
                  <c:v>0.24219215004251099</c:v>
                </c:pt>
                <c:pt idx="24">
                  <c:v>0.26729839440822711</c:v>
                </c:pt>
                <c:pt idx="25">
                  <c:v>0.29355174080079821</c:v>
                </c:pt>
                <c:pt idx="26">
                  <c:v>0.3209337731595216</c:v>
                </c:pt>
                <c:pt idx="27">
                  <c:v>0.34943066512699317</c:v>
                </c:pt>
                <c:pt idx="28">
                  <c:v>0.37903779914555835</c:v>
                </c:pt>
                <c:pt idx="29">
                  <c:v>0.40975516387531019</c:v>
                </c:pt>
                <c:pt idx="30">
                  <c:v>0.44158274501109435</c:v>
                </c:pt>
                <c:pt idx="31">
                  <c:v>0.47452052527982014</c:v>
                </c:pt>
                <c:pt idx="32">
                  <c:v>0.50856848443781055</c:v>
                </c:pt>
                <c:pt idx="33">
                  <c:v>0.54372659926819134</c:v>
                </c:pt>
                <c:pt idx="34">
                  <c:v>0.5799948435783191</c:v>
                </c:pt>
                <c:pt idx="35">
                  <c:v>0.61737318819724873</c:v>
                </c:pt>
                <c:pt idx="36">
                  <c:v>0.6558616009732402</c:v>
                </c:pt>
                <c:pt idx="37">
                  <c:v>0.6954600467713048</c:v>
                </c:pt>
                <c:pt idx="38">
                  <c:v>0.7362523988749804</c:v>
                </c:pt>
                <c:pt idx="39">
                  <c:v>0.77832508994766991</c:v>
                </c:pt>
                <c:pt idx="40">
                  <c:v>0.82168317698969062</c:v>
                </c:pt>
                <c:pt idx="41">
                  <c:v>0.86633163485555842</c:v>
                </c:pt>
                <c:pt idx="42">
                  <c:v>0.9122753269102627</c:v>
                </c:pt>
                <c:pt idx="43">
                  <c:v>0.95951900992857087</c:v>
                </c:pt>
                <c:pt idx="44">
                  <c:v>1.0080673386582437</c:v>
                </c:pt>
                <c:pt idx="45">
                  <c:v>1.0579248700775132</c:v>
                </c:pt>
                <c:pt idx="46">
                  <c:v>1.109096067373802</c:v>
                </c:pt>
                <c:pt idx="47">
                  <c:v>1.1615853036677335</c:v>
                </c:pt>
                <c:pt idx="48">
                  <c:v>1.2153968655039262</c:v>
                </c:pt>
                <c:pt idx="49">
                  <c:v>1.2705349561278296</c:v>
                </c:pt>
                <c:pt idx="50">
                  <c:v>1.3270036985659022</c:v>
                </c:pt>
                <c:pt idx="51">
                  <c:v>1.3848071385247041</c:v>
                </c:pt>
                <c:pt idx="52">
                  <c:v>1.443949247122958</c:v>
                </c:pt>
                <c:pt idx="53">
                  <c:v>1.5044339234692841</c:v>
                </c:pt>
                <c:pt idx="54">
                  <c:v>1.5662649970971225</c:v>
                </c:pt>
                <c:pt idx="55">
                  <c:v>1.6294462302672985</c:v>
                </c:pt>
                <c:pt idx="56">
                  <c:v>1.6939813201477345</c:v>
                </c:pt>
                <c:pt idx="57">
                  <c:v>1.7598739008789757</c:v>
                </c:pt>
                <c:pt idx="58">
                  <c:v>1.8271275455334377</c:v>
                </c:pt>
                <c:pt idx="59">
                  <c:v>1.8957457679756073</c:v>
                </c:pt>
                <c:pt idx="60">
                  <c:v>1.9657320246298193</c:v>
                </c:pt>
                <c:pt idx="61">
                  <c:v>2.037089716161685</c:v>
                </c:pt>
                <c:pt idx="62">
                  <c:v>2.1098221890787556</c:v>
                </c:pt>
                <c:pt idx="63">
                  <c:v>2.1839327372555513</c:v>
                </c:pt>
                <c:pt idx="64">
                  <c:v>2.2594246033876915</c:v>
                </c:pt>
                <c:pt idx="65">
                  <c:v>2.3363009803794887</c:v>
                </c:pt>
                <c:pt idx="66">
                  <c:v>2.4145650126690357</c:v>
                </c:pt>
                <c:pt idx="67">
                  <c:v>2.4942197974945213</c:v>
                </c:pt>
                <c:pt idx="68">
                  <c:v>2.5752683861052228</c:v>
                </c:pt>
                <c:pt idx="69">
                  <c:v>2.65771378492038</c:v>
                </c:pt>
                <c:pt idx="70">
                  <c:v>2.7415589566389245</c:v>
                </c:pt>
                <c:pt idx="71">
                  <c:v>2.8268068213028248</c:v>
                </c:pt>
                <c:pt idx="72">
                  <c:v>2.9134601992840219</c:v>
                </c:pt>
                <c:pt idx="73">
                  <c:v>3.0015217537881251</c:v>
                </c:pt>
                <c:pt idx="74">
                  <c:v>3.0909940492400687</c:v>
                </c:pt>
                <c:pt idx="75">
                  <c:v>3.1818796100866491</c:v>
                </c:pt>
                <c:pt idx="76">
                  <c:v>3.2741809216869906</c:v>
                </c:pt>
                <c:pt idx="77">
                  <c:v>3.3679004311686729</c:v>
                </c:pt>
                <c:pt idx="78">
                  <c:v>3.4630405482512807</c:v>
                </c:pt>
                <c:pt idx="79">
                  <c:v>3.5596036460390277</c:v>
                </c:pt>
                <c:pt idx="80">
                  <c:v>3.6575920617840025</c:v>
                </c:pt>
                <c:pt idx="81">
                  <c:v>3.7570080976214895</c:v>
                </c:pt>
                <c:pt idx="82">
                  <c:v>3.857854021278722</c:v>
                </c:pt>
                <c:pt idx="83">
                  <c:v>3.9601320667583542</c:v>
                </c:pt>
                <c:pt idx="84">
                  <c:v>4.0638444349978506</c:v>
                </c:pt>
                <c:pt idx="85">
                  <c:v>4.1689932945059294</c:v>
                </c:pt>
                <c:pt idx="86">
                  <c:v>4.275580781977121</c:v>
                </c:pt>
                <c:pt idx="87">
                  <c:v>4.3836090028854535</c:v>
                </c:pt>
                <c:pt idx="88">
                  <c:v>4.4930800320582076</c:v>
                </c:pt>
                <c:pt idx="89">
                  <c:v>4.6039959142306364</c:v>
                </c:pt>
                <c:pt idx="90">
                  <c:v>4.716358664582498</c:v>
                </c:pt>
                <c:pt idx="91">
                  <c:v>4.8301702692571951</c:v>
                </c:pt>
                <c:pt idx="92">
                  <c:v>4.9454326858642768</c:v>
                </c:pt>
                <c:pt idx="93">
                  <c:v>5.0621478439660219</c:v>
                </c:pt>
                <c:pt idx="94">
                  <c:v>5.1803176455487714</c:v>
                </c:pt>
                <c:pt idx="95">
                  <c:v>5.2999439654796587</c:v>
                </c:pt>
                <c:pt idx="96">
                  <c:v>5.4210286519493405</c:v>
                </c:pt>
                <c:pt idx="97">
                  <c:v>5.5435735269013042</c:v>
                </c:pt>
                <c:pt idx="98">
                  <c:v>5.667580386448301</c:v>
                </c:pt>
                <c:pt idx="99">
                  <c:v>5.7930510012764227</c:v>
                </c:pt>
                <c:pt idx="100">
                  <c:v>5.9199871170373131</c:v>
                </c:pt>
                <c:pt idx="101">
                  <c:v>6.0483904547289855</c:v>
                </c:pt>
                <c:pt idx="102">
                  <c:v>6.17826271106569</c:v>
                </c:pt>
                <c:pt idx="103">
                  <c:v>6.3096055588372586</c:v>
                </c:pt>
                <c:pt idx="104">
                  <c:v>6.4424206472583272</c:v>
                </c:pt>
                <c:pt idx="105">
                  <c:v>6.5767096023078224</c:v>
                </c:pt>
                <c:pt idx="106">
                  <c:v>6.7124740270590779</c:v>
                </c:pt>
                <c:pt idx="107">
                  <c:v>6.8497155020009313</c:v>
                </c:pt>
                <c:pt idx="108">
                  <c:v>6.9884355853501319</c:v>
                </c:pt>
                <c:pt idx="109">
                  <c:v>7.1286358133553858</c:v>
                </c:pt>
                <c:pt idx="110">
                  <c:v>7.2703177005933304</c:v>
                </c:pt>
                <c:pt idx="111">
                  <c:v>7.4134827402567351</c:v>
                </c:pt>
                <c:pt idx="112">
                  <c:v>7.5581324044352076</c:v>
                </c:pt>
                <c:pt idx="113">
                  <c:v>7.7042681443886654</c:v>
                </c:pt>
                <c:pt idx="114">
                  <c:v>7.8518913908138286</c:v>
                </c:pt>
                <c:pt idx="115">
                  <c:v>8.0010035541039777</c:v>
                </c:pt>
                <c:pt idx="116">
                  <c:v>8.1516060246022004</c:v>
                </c:pt>
                <c:pt idx="117">
                  <c:v>8.3037001728483713</c:v>
                </c:pt>
                <c:pt idx="118">
                  <c:v>8.4572873498200405</c:v>
                </c:pt>
                <c:pt idx="119">
                  <c:v>8.6123688871674791</c:v>
                </c:pt>
                <c:pt idx="120">
                  <c:v>8.7689460974430382</c:v>
                </c:pt>
                <c:pt idx="121">
                  <c:v>8.9270202743250326</c:v>
                </c:pt>
                <c:pt idx="122">
                  <c:v>9.086592692836323</c:v>
                </c:pt>
                <c:pt idx="123">
                  <c:v>9.2476646095577628</c:v>
                </c:pt>
                <c:pt idx="124">
                  <c:v>9.4102372628366862</c:v>
                </c:pt>
                <c:pt idx="125">
                  <c:v>9.5743118729905881</c:v>
                </c:pt>
                <c:pt idx="126">
                  <c:v>9.7398896425061476</c:v>
                </c:pt>
                <c:pt idx="127">
                  <c:v>9.9069717562337569</c:v>
                </c:pt>
                <c:pt idx="128">
                  <c:v>10.075559381577673</c:v>
                </c:pt>
                <c:pt idx="129">
                  <c:v>10.245653377123844</c:v>
                </c:pt>
                <c:pt idx="130">
                  <c:v>10.417253999907683</c:v>
                </c:pt>
                <c:pt idx="131">
                  <c:v>10.590361195354962</c:v>
                </c:pt>
                <c:pt idx="132">
                  <c:v>10.764974888597203</c:v>
                </c:pt>
                <c:pt idx="133">
                  <c:v>10.941094984686238</c:v>
                </c:pt>
                <c:pt idx="134">
                  <c:v>11.118721368804243</c:v>
                </c:pt>
                <c:pt idx="135">
                  <c:v>11.297853906469397</c:v>
                </c:pt>
                <c:pt idx="136">
                  <c:v>11.478492443737302</c:v>
                </c:pt>
                <c:pt idx="137">
                  <c:v>11.660636807398268</c:v>
                </c:pt>
                <c:pt idx="138">
                  <c:v>11.844286805170629</c:v>
                </c:pt>
                <c:pt idx="139">
                  <c:v>12.029442225890179</c:v>
                </c:pt>
                <c:pt idx="140">
                  <c:v>12.216102839695848</c:v>
                </c:pt>
                <c:pt idx="141">
                  <c:v>12.404268398211752</c:v>
                </c:pt>
                <c:pt idx="142">
                  <c:v>12.593938634725689</c:v>
                </c:pt>
                <c:pt idx="143">
                  <c:v>12.785113264364222</c:v>
                </c:pt>
                <c:pt idx="144">
                  <c:v>12.977791984264417</c:v>
                </c:pt>
                <c:pt idx="145">
                  <c:v>13.171974473742351</c:v>
                </c:pt>
                <c:pt idx="146">
                  <c:v>13.367660394458476</c:v>
                </c:pt>
                <c:pt idx="147">
                  <c:v>13.564849390579933</c:v>
                </c:pt>
                <c:pt idx="148">
                  <c:v>13.763541088939904</c:v>
                </c:pt>
                <c:pt idx="149">
                  <c:v>13.963735099194066</c:v>
                </c:pt>
                <c:pt idx="150">
                  <c:v>14.165431013974258</c:v>
                </c:pt>
                <c:pt idx="151">
                  <c:v>14.36862840903942</c:v>
                </c:pt>
                <c:pt idx="152">
                  <c:v>14.573326843423876</c:v>
                </c:pt>
                <c:pt idx="153">
                  <c:v>14.77952585958305</c:v>
                </c:pt>
                <c:pt idx="154">
                  <c:v>14.987224983536667</c:v>
                </c:pt>
                <c:pt idx="155">
                  <c:v>15.196423725009518</c:v>
                </c:pt>
                <c:pt idx="156">
                  <c:v>15.40712157756986</c:v>
                </c:pt>
                <c:pt idx="157">
                  <c:v>15.61931801876549</c:v>
                </c:pt>
                <c:pt idx="158">
                  <c:v>15.833012510257582</c:v>
                </c:pt>
                <c:pt idx="159">
                  <c:v>16.048204497952334</c:v>
                </c:pt>
                <c:pt idx="160">
                  <c:v>16.264893412130473</c:v>
                </c:pt>
                <c:pt idx="161">
                  <c:v>16.483078667574702</c:v>
                </c:pt>
                <c:pt idx="162">
                  <c:v>16.702759663695108</c:v>
                </c:pt>
                <c:pt idx="163">
                  <c:v>16.923935784652603</c:v>
                </c:pt>
                <c:pt idx="164">
                  <c:v>17.146606399480451</c:v>
                </c:pt>
                <c:pt idx="165">
                  <c:v>17.370770862203909</c:v>
                </c:pt>
                <c:pt idx="166">
                  <c:v>17.596428511958067</c:v>
                </c:pt>
                <c:pt idx="167">
                  <c:v>17.823578673103885</c:v>
                </c:pt>
                <c:pt idx="168">
                  <c:v>18.052220655342516</c:v>
                </c:pt>
                <c:pt idx="169">
                  <c:v>18.282353753827923</c:v>
                </c:pt>
                <c:pt idx="170">
                  <c:v>18.51397724927785</c:v>
                </c:pt>
                <c:pt idx="171">
                  <c:v>18.747090408083199</c:v>
                </c:pt>
                <c:pt idx="172">
                  <c:v>18.981692482415806</c:v>
                </c:pt>
                <c:pt idx="173">
                  <c:v>19.217782710334721</c:v>
                </c:pt>
                <c:pt idx="174">
                  <c:v>19.455360315890967</c:v>
                </c:pt>
                <c:pt idx="175">
                  <c:v>19.694424509230856</c:v>
                </c:pt>
                <c:pt idx="176">
                  <c:v>19.934974486697868</c:v>
                </c:pt>
                <c:pt idx="177">
                  <c:v>20.17700943093315</c:v>
                </c:pt>
                <c:pt idx="178">
                  <c:v>20.420528510974652</c:v>
                </c:pt>
                <c:pt idx="179">
                  <c:v>20.665530882354936</c:v>
                </c:pt>
                <c:pt idx="180">
                  <c:v>20.912015687197698</c:v>
                </c:pt>
                <c:pt idx="181">
                  <c:v>21.159982054313009</c:v>
                </c:pt>
                <c:pt idx="182">
                  <c:v>21.409429099291344</c:v>
                </c:pt>
                <c:pt idx="183">
                  <c:v>21.660355924596377</c:v>
                </c:pt>
                <c:pt idx="184">
                  <c:v>21.912761619656617</c:v>
                </c:pt>
                <c:pt idx="185">
                  <c:v>22.166645260955875</c:v>
                </c:pt>
                <c:pt idx="186">
                  <c:v>22.422005912122611</c:v>
                </c:pt>
                <c:pt idx="187">
                  <c:v>22.678842624018191</c:v>
                </c:pt>
                <c:pt idx="188">
                  <c:v>22.937154434824038</c:v>
                </c:pt>
                <c:pt idx="189">
                  <c:v>23.196940370127749</c:v>
                </c:pt>
                <c:pt idx="190">
                  <c:v>23.45819944300818</c:v>
                </c:pt>
                <c:pt idx="191">
                  <c:v>23.720930654119524</c:v>
                </c:pt>
                <c:pt idx="192">
                  <c:v>23.985132991774393</c:v>
                </c:pt>
                <c:pt idx="193">
                  <c:v>24.250805432025942</c:v>
                </c:pt>
                <c:pt idx="194">
                  <c:v>24.517946938749056</c:v>
                </c:pt>
                <c:pt idx="195">
                  <c:v>24.786556463720594</c:v>
                </c:pt>
                <c:pt idx="196">
                  <c:v>25.056632946698752</c:v>
                </c:pt>
                <c:pt idx="197">
                  <c:v>25.328175315501529</c:v>
                </c:pt>
                <c:pt idx="198">
                  <c:v>25.601182486084326</c:v>
                </c:pt>
                <c:pt idx="199">
                  <c:v>25.875653362616696</c:v>
                </c:pt>
                <c:pt idx="200">
                  <c:v>26.151586837558277</c:v>
                </c:pt>
                <c:pt idx="201">
                  <c:v>26.428981791733893</c:v>
                </c:pt>
                <c:pt idx="202">
                  <c:v>26.707837094407875</c:v>
                </c:pt>
                <c:pt idx="203">
                  <c:v>26.988151603357586</c:v>
                </c:pt>
                <c:pt idx="204">
                  <c:v>27.269924164946207</c:v>
                </c:pt>
                <c:pt idx="205">
                  <c:v>27.553153614194741</c:v>
                </c:pt>
                <c:pt idx="206">
                  <c:v>27.837838698769371</c:v>
                </c:pt>
                <c:pt idx="207">
                  <c:v>28.123978002734201</c:v>
                </c:pt>
                <c:pt idx="208">
                  <c:v>28.411570022405996</c:v>
                </c:pt>
                <c:pt idx="209">
                  <c:v>28.700613242445176</c:v>
                </c:pt>
                <c:pt idx="210">
                  <c:v>28.991106135930448</c:v>
                </c:pt>
                <c:pt idx="211">
                  <c:v>29.28304716443273</c:v>
                </c:pt>
                <c:pt idx="212">
                  <c:v>29.576434778088363</c:v>
                </c:pt>
                <c:pt idx="213">
                  <c:v>29.871267415671614</c:v>
                </c:pt>
                <c:pt idx="214">
                  <c:v>30.167543504666519</c:v>
                </c:pt>
                <c:pt idx="215">
                  <c:v>30.465261461338041</c:v>
                </c:pt>
                <c:pt idx="216">
                  <c:v>30.764419690802587</c:v>
                </c:pt>
                <c:pt idx="217">
                  <c:v>31.065016587097869</c:v>
                </c:pt>
                <c:pt idx="218">
                  <c:v>31.367050533252147</c:v>
                </c:pt>
                <c:pt idx="219">
                  <c:v>31.670519901352847</c:v>
                </c:pt>
                <c:pt idx="220">
                  <c:v>31.975423052614573</c:v>
                </c:pt>
                <c:pt idx="221">
                  <c:v>32.281758337446526</c:v>
                </c:pt>
                <c:pt idx="222">
                  <c:v>32.58952409551933</c:v>
                </c:pt>
                <c:pt idx="223">
                  <c:v>32.898718655831303</c:v>
                </c:pt>
                <c:pt idx="224">
                  <c:v>33.209340336774133</c:v>
                </c:pt>
                <c:pt idx="225">
                  <c:v>33.521387446198041</c:v>
                </c:pt>
                <c:pt idx="226">
                  <c:v>33.834858281476365</c:v>
                </c:pt>
                <c:pt idx="227">
                  <c:v>34.14975112956963</c:v>
                </c:pt>
                <c:pt idx="228">
                  <c:v>34.466064267089088</c:v>
                </c:pt>
                <c:pt idx="229">
                  <c:v>34.783795960359747</c:v>
                </c:pt>
                <c:pt idx="230">
                  <c:v>35.102944465482885</c:v>
                </c:pt>
                <c:pt idx="231">
                  <c:v>35.423508028398082</c:v>
                </c:pt>
                <c:pt idx="232">
                  <c:v>35.745484884944759</c:v>
                </c:pt>
                <c:pt idx="233">
                  <c:v>36.068873260923212</c:v>
                </c:pt>
                <c:pt idx="234">
                  <c:v>36.393671372155225</c:v>
                </c:pt>
                <c:pt idx="235">
                  <c:v>36.719877424544158</c:v>
                </c:pt>
                <c:pt idx="236">
                  <c:v>37.047489614134648</c:v>
                </c:pt>
                <c:pt idx="237">
                  <c:v>37.376506127171794</c:v>
                </c:pt>
                <c:pt idx="238">
                  <c:v>37.706925140159946</c:v>
                </c:pt>
                <c:pt idx="239">
                  <c:v>38.038744819921043</c:v>
                </c:pt>
                <c:pt idx="240">
                  <c:v>38.371963323652537</c:v>
                </c:pt>
                <c:pt idx="241">
                  <c:v>38.706578798984879</c:v>
                </c:pt>
                <c:pt idx="242">
                  <c:v>39.042589114652827</c:v>
                </c:pt>
                <c:pt idx="243">
                  <c:v>39.379991590459852</c:v>
                </c:pt>
                <c:pt idx="244">
                  <c:v>39.71878326584104</c:v>
                </c:pt>
                <c:pt idx="245">
                  <c:v>40.058961169141604</c:v>
                </c:pt>
                <c:pt idx="246">
                  <c:v>40.400522317691262</c:v>
                </c:pt>
                <c:pt idx="247">
                  <c:v>40.743463717878129</c:v>
                </c:pt>
                <c:pt idx="248">
                  <c:v>41.08778236522204</c:v>
                </c:pt>
                <c:pt idx="249">
                  <c:v>41.433475244447386</c:v>
                </c:pt>
                <c:pt idx="250">
                  <c:v>41.780539329555424</c:v>
                </c:pt>
                <c:pt idx="251">
                  <c:v>42.128971583896096</c:v>
                </c:pt>
                <c:pt idx="252">
                  <c:v>42.478768960239357</c:v>
                </c:pt>
                <c:pt idx="253">
                  <c:v>42.829928400846015</c:v>
                </c:pt>
                <c:pt idx="254">
                  <c:v>43.182446837538095</c:v>
                </c:pt>
                <c:pt idx="255">
                  <c:v>43.536321191768707</c:v>
                </c:pt>
                <c:pt idx="256">
                  <c:v>43.891548374691496</c:v>
                </c:pt>
                <c:pt idx="257">
                  <c:v>44.248125287229577</c:v>
                </c:pt>
                <c:pt idx="258">
                  <c:v>44.606048820144061</c:v>
                </c:pt>
                <c:pt idx="259">
                  <c:v>44.965315854102116</c:v>
                </c:pt>
                <c:pt idx="260">
                  <c:v>45.325923259744592</c:v>
                </c:pt>
                <c:pt idx="261">
                  <c:v>45.687867897753208</c:v>
                </c:pt>
                <c:pt idx="262">
                  <c:v>46.051146618917315</c:v>
                </c:pt>
                <c:pt idx="263">
                  <c:v>46.415756264200219</c:v>
                </c:pt>
                <c:pt idx="264">
                  <c:v>46.781693664805111</c:v>
                </c:pt>
                <c:pt idx="265">
                  <c:v>47.14895564224058</c:v>
                </c:pt>
                <c:pt idx="266">
                  <c:v>47.517539008385704</c:v>
                </c:pt>
                <c:pt idx="267">
                  <c:v>47.887440565554741</c:v>
                </c:pt>
                <c:pt idx="268">
                  <c:v>48.258657106561436</c:v>
                </c:pt>
                <c:pt idx="269">
                  <c:v>48.631185414782934</c:v>
                </c:pt>
                <c:pt idx="270">
                  <c:v>49.005022264223285</c:v>
                </c:pt>
                <c:pt idx="271">
                  <c:v>49.380164419576609</c:v>
                </c:pt>
                <c:pt idx="272">
                  <c:v>49.756608636289819</c:v>
                </c:pt>
                <c:pt idx="273">
                  <c:v>50.134351660625036</c:v>
                </c:pt>
                <c:pt idx="274">
                  <c:v>50.513390229721594</c:v>
                </c:pt>
                <c:pt idx="275">
                  <c:v>50.893721071657687</c:v>
                </c:pt>
                <c:pt idx="276">
                  <c:v>51.275340905511662</c:v>
                </c:pt>
                <c:pt idx="277">
                  <c:v>51.658246441422953</c:v>
                </c:pt>
                <c:pt idx="278">
                  <c:v>52.042434380652665</c:v>
                </c:pt>
                <c:pt idx="279">
                  <c:v>52.427901415643795</c:v>
                </c:pt>
                <c:pt idx="280">
                  <c:v>52.814644230081115</c:v>
                </c:pt>
                <c:pt idx="281">
                  <c:v>53.202659498950716</c:v>
                </c:pt>
                <c:pt idx="282">
                  <c:v>53.591943888599218</c:v>
                </c:pt>
                <c:pt idx="283">
                  <c:v>53.982494056792639</c:v>
                </c:pt>
                <c:pt idx="284">
                  <c:v>54.37430697680378</c:v>
                </c:pt>
                <c:pt idx="285">
                  <c:v>54.767380262203957</c:v>
                </c:pt>
                <c:pt idx="286">
                  <c:v>55.161711843730941</c:v>
                </c:pt>
                <c:pt idx="287">
                  <c:v>55.557299645442669</c:v>
                </c:pt>
                <c:pt idx="288">
                  <c:v>55.954141584755973</c:v>
                </c:pt>
                <c:pt idx="289">
                  <c:v>56.352235572485142</c:v>
                </c:pt>
                <c:pt idx="290">
                  <c:v>56.751579512880276</c:v>
                </c:pt>
                <c:pt idx="291">
                  <c:v>57.152171303665476</c:v>
                </c:pt>
                <c:pt idx="292">
                  <c:v>57.554008836076818</c:v>
                </c:pt>
                <c:pt idx="293">
                  <c:v>57.957089994900187</c:v>
                </c:pt>
                <c:pt idx="294">
                  <c:v>58.361412658508911</c:v>
                </c:pt>
                <c:pt idx="295">
                  <c:v>58.766974698901194</c:v>
                </c:pt>
                <c:pt idx="296">
                  <c:v>59.173773981737419</c:v>
                </c:pt>
                <c:pt idx="297">
                  <c:v>59.581808366377238</c:v>
                </c:pt>
                <c:pt idx="298">
                  <c:v>59.991075705916515</c:v>
                </c:pt>
                <c:pt idx="299">
                  <c:v>60.401573847224071</c:v>
                </c:pt>
                <c:pt idx="300">
                  <c:v>60.81330063097829</c:v>
                </c:pt>
                <c:pt idx="301">
                  <c:v>61.226253891703522</c:v>
                </c:pt>
                <c:pt idx="302">
                  <c:v>61.640431457806358</c:v>
                </c:pt>
                <c:pt idx="303">
                  <c:v>62.055831151611699</c:v>
                </c:pt>
                <c:pt idx="304">
                  <c:v>62.472450789398685</c:v>
                </c:pt>
                <c:pt idx="305">
                  <c:v>62.890288181436475</c:v>
                </c:pt>
                <c:pt idx="306">
                  <c:v>63.309341132019817</c:v>
                </c:pt>
                <c:pt idx="307">
                  <c:v>63.729607439504512</c:v>
                </c:pt>
                <c:pt idx="308">
                  <c:v>64.151084896342695</c:v>
                </c:pt>
                <c:pt idx="309">
                  <c:v>64.573771289117929</c:v>
                </c:pt>
                <c:pt idx="310">
                  <c:v>64.997664398580199</c:v>
                </c:pt>
                <c:pt idx="311">
                  <c:v>65.422761999680745</c:v>
                </c:pt>
                <c:pt idx="312">
                  <c:v>65.849061861606685</c:v>
                </c:pt>
                <c:pt idx="313">
                  <c:v>66.276561747815521</c:v>
                </c:pt>
                <c:pt idx="314">
                  <c:v>66.705259416069524</c:v>
                </c:pt>
                <c:pt idx="315">
                  <c:v>67.135152618469917</c:v>
                </c:pt>
                <c:pt idx="316">
                  <c:v>67.566239101490936</c:v>
                </c:pt>
                <c:pt idx="317">
                  <c:v>67.998516606013737</c:v>
                </c:pt>
                <c:pt idx="318">
                  <c:v>68.431982867360176</c:v>
                </c:pt>
                <c:pt idx="319">
                  <c:v>68.866635615326388</c:v>
                </c:pt>
                <c:pt idx="320">
                  <c:v>69.302472574216296</c:v>
                </c:pt>
                <c:pt idx="321">
                  <c:v>69.739491462874895</c:v>
                </c:pt>
                <c:pt idx="322">
                  <c:v>70.17768999472149</c:v>
                </c:pt>
                <c:pt idx="323">
                  <c:v>70.617065877782693</c:v>
                </c:pt>
                <c:pt idx="324">
                  <c:v>71.057616814725336</c:v>
                </c:pt>
                <c:pt idx="325">
                  <c:v>71.49934050288924</c:v>
                </c:pt>
                <c:pt idx="326">
                  <c:v>71.942234654656872</c:v>
                </c:pt>
                <c:pt idx="327">
                  <c:v>72.386297017860528</c:v>
                </c:pt>
                <c:pt idx="328">
                  <c:v>72.831525355520313</c:v>
                </c:pt>
                <c:pt idx="329">
                  <c:v>73.277917425543791</c:v>
                </c:pt>
                <c:pt idx="330">
                  <c:v>73.725470980757123</c:v>
                </c:pt>
                <c:pt idx="331">
                  <c:v>74.174183768936089</c:v>
                </c:pt>
                <c:pt idx="332">
                  <c:v>74.624053532836953</c:v>
                </c:pt>
                <c:pt idx="333">
                  <c:v>75.075078010227202</c:v>
                </c:pt>
                <c:pt idx="334">
                  <c:v>75.527254933916197</c:v>
                </c:pt>
                <c:pt idx="335">
                  <c:v>75.980582031785644</c:v>
                </c:pt>
                <c:pt idx="336">
                  <c:v>76.435057026819976</c:v>
                </c:pt>
                <c:pt idx="337">
                  <c:v>76.890677637136619</c:v>
                </c:pt>
                <c:pt idx="338">
                  <c:v>77.347441576016109</c:v>
                </c:pt>
                <c:pt idx="339">
                  <c:v>77.805346551932047</c:v>
                </c:pt>
                <c:pt idx="340">
                  <c:v>78.264390268581053</c:v>
                </c:pt>
                <c:pt idx="341">
                  <c:v>78.724570424912457</c:v>
                </c:pt>
                <c:pt idx="342">
                  <c:v>79.185884715157968</c:v>
                </c:pt>
                <c:pt idx="343">
                  <c:v>79.648330828861177</c:v>
                </c:pt>
                <c:pt idx="344">
                  <c:v>80.111906450906957</c:v>
                </c:pt>
                <c:pt idx="345">
                  <c:v>80.576609261550743</c:v>
                </c:pt>
                <c:pt idx="346">
                  <c:v>81.042436936447672</c:v>
                </c:pt>
                <c:pt idx="347">
                  <c:v>81.509387146681632</c:v>
                </c:pt>
                <c:pt idx="348">
                  <c:v>81.977457558794171</c:v>
                </c:pt>
                <c:pt idx="349">
                  <c:v>82.44664583481331</c:v>
                </c:pt>
                <c:pt idx="350">
                  <c:v>82.916949632282225</c:v>
                </c:pt>
                <c:pt idx="351">
                  <c:v>83.38836660428781</c:v>
                </c:pt>
                <c:pt idx="352">
                  <c:v>83.860894399489169</c:v>
                </c:pt>
                <c:pt idx="353">
                  <c:v>84.334530662145895</c:v>
                </c:pt>
                <c:pt idx="354">
                  <c:v>84.809273032146336</c:v>
                </c:pt>
                <c:pt idx="355">
                  <c:v>85.285119145035694</c:v>
                </c:pt>
                <c:pt idx="356">
                  <c:v>85.762066632044039</c:v>
                </c:pt>
                <c:pt idx="357">
                  <c:v>86.240113120114174</c:v>
                </c:pt>
                <c:pt idx="358">
                  <c:v>86.719256231929407</c:v>
                </c:pt>
                <c:pt idx="359">
                  <c:v>87.199493585941212</c:v>
                </c:pt>
                <c:pt idx="360">
                  <c:v>87.680822796396811</c:v>
                </c:pt>
                <c:pt idx="361">
                  <c:v>88.163241473366568</c:v>
                </c:pt>
                <c:pt idx="362">
                  <c:v>88.646747222771324</c:v>
                </c:pt>
                <c:pt idx="363">
                  <c:v>89.131337646409634</c:v>
                </c:pt>
                <c:pt idx="364">
                  <c:v>89.617010341984866</c:v>
                </c:pt>
                <c:pt idx="365">
                  <c:v>90.103762903132179</c:v>
                </c:pt>
                <c:pt idx="366">
                  <c:v>90.59159344466326</c:v>
                </c:pt>
                <c:pt idx="367">
                  <c:v>91.080501128650013</c:v>
                </c:pt>
                <c:pt idx="368">
                  <c:v>91.570485640127188</c:v>
                </c:pt>
                <c:pt idx="369">
                  <c:v>92.061546661946537</c:v>
                </c:pt>
                <c:pt idx="370">
                  <c:v>92.553683874784781</c:v>
                </c:pt>
                <c:pt idx="371">
                  <c:v>93.04689695715156</c:v>
                </c:pt>
                <c:pt idx="372">
                  <c:v>93.541185585397344</c:v>
                </c:pt>
                <c:pt idx="373">
                  <c:v>94.036549433721405</c:v>
                </c:pt>
                <c:pt idx="374">
                  <c:v>94.532988174179692</c:v>
                </c:pt>
                <c:pt idx="375">
                  <c:v>95.030501476692734</c:v>
                </c:pt>
                <c:pt idx="376">
                  <c:v>95.529089009053507</c:v>
                </c:pt>
                <c:pt idx="377">
                  <c:v>96.028750436935312</c:v>
                </c:pt>
                <c:pt idx="378">
                  <c:v>96.529485423899629</c:v>
                </c:pt>
                <c:pt idx="379">
                  <c:v>97.03129363140394</c:v>
                </c:pt>
                <c:pt idx="380">
                  <c:v>97.534174718809581</c:v>
                </c:pt>
                <c:pt idx="381">
                  <c:v>98.038127772769087</c:v>
                </c:pt>
                <c:pt idx="382">
                  <c:v>98.543150735737939</c:v>
                </c:pt>
                <c:pt idx="383">
                  <c:v>99.049240975688903</c:v>
                </c:pt>
                <c:pt idx="384">
                  <c:v>99.556395856712129</c:v>
                </c:pt>
                <c:pt idx="385">
                  <c:v>100.06461273904262</c:v>
                </c:pt>
                <c:pt idx="386">
                  <c:v>100.57388897908763</c:v>
                </c:pt>
                <c:pt idx="387">
                  <c:v>101.08422192945399</c:v>
                </c:pt>
                <c:pt idx="388">
                  <c:v>101.59560893897525</c:v>
                </c:pt>
                <c:pt idx="389">
                  <c:v>102.10804735273871</c:v>
                </c:pt>
                <c:pt idx="390">
                  <c:v>102.62153451211239</c:v>
                </c:pt>
                <c:pt idx="391">
                  <c:v>103.13606775477187</c:v>
                </c:pt>
                <c:pt idx="392">
                  <c:v>103.65164441472699</c:v>
                </c:pt>
                <c:pt idx="393">
                  <c:v>104.16826182234846</c:v>
                </c:pt>
                <c:pt idx="394">
                  <c:v>104.68591730439435</c:v>
                </c:pt>
                <c:pt idx="395">
                  <c:v>105.20460818403649</c:v>
                </c:pt>
                <c:pt idx="396">
                  <c:v>105.72433178088669</c:v>
                </c:pt>
                <c:pt idx="397">
                  <c:v>106.24508541102297</c:v>
                </c:pt>
                <c:pt idx="398">
                  <c:v>106.76686638701555</c:v>
                </c:pt>
                <c:pt idx="399">
                  <c:v>107.28967201795284</c:v>
                </c:pt>
                <c:pt idx="400">
                  <c:v>107.8134996094672</c:v>
                </c:pt>
                <c:pt idx="401">
                  <c:v>108.33834601206274</c:v>
                </c:pt>
                <c:pt idx="402">
                  <c:v>108.86420716880298</c:v>
                </c:pt>
                <c:pt idx="403">
                  <c:v>109.39107856639583</c:v>
                </c:pt>
                <c:pt idx="404">
                  <c:v>109.91895568692787</c:v>
                </c:pt>
                <c:pt idx="405">
                  <c:v>110.44783400790831</c:v>
                </c:pt>
                <c:pt idx="406">
                  <c:v>110.97770900231281</c:v>
                </c:pt>
                <c:pt idx="407">
                  <c:v>111.50857613862705</c:v>
                </c:pt>
                <c:pt idx="408">
                  <c:v>112.04043088089004</c:v>
                </c:pt>
                <c:pt idx="409">
                  <c:v>112.57326868873724</c:v>
                </c:pt>
                <c:pt idx="410">
                  <c:v>113.10708501744334</c:v>
                </c:pt>
                <c:pt idx="411">
                  <c:v>113.64187281461977</c:v>
                </c:pt>
                <c:pt idx="412">
                  <c:v>114.17762001356279</c:v>
                </c:pt>
                <c:pt idx="413">
                  <c:v>114.71431203343072</c:v>
                </c:pt>
                <c:pt idx="414">
                  <c:v>115.25193428285465</c:v>
                </c:pt>
                <c:pt idx="415">
                  <c:v>115.79047216014801</c:v>
                </c:pt>
                <c:pt idx="416">
                  <c:v>116.32991105351428</c:v>
                </c:pt>
                <c:pt idx="417">
                  <c:v>116.87023634125285</c:v>
                </c:pt>
                <c:pt idx="418">
                  <c:v>117.41143339196303</c:v>
                </c:pt>
                <c:pt idx="419">
                  <c:v>117.95348756474621</c:v>
                </c:pt>
                <c:pt idx="420">
                  <c:v>118.49638278155747</c:v>
                </c:pt>
                <c:pt idx="421">
                  <c:v>119.04010009784868</c:v>
                </c:pt>
                <c:pt idx="422">
                  <c:v>119.58461912910943</c:v>
                </c:pt>
                <c:pt idx="423">
                  <c:v>120.12991947918367</c:v>
                </c:pt>
                <c:pt idx="424">
                  <c:v>120.67598074060395</c:v>
                </c:pt>
                <c:pt idx="425">
                  <c:v>121.22278249492206</c:v>
                </c:pt>
                <c:pt idx="426">
                  <c:v>121.77030431303635</c:v>
                </c:pt>
                <c:pt idx="427">
                  <c:v>122.31852575551549</c:v>
                </c:pt>
                <c:pt idx="428">
                  <c:v>122.86742637291884</c:v>
                </c:pt>
                <c:pt idx="429">
                  <c:v>123.41698570611322</c:v>
                </c:pt>
                <c:pt idx="430">
                  <c:v>123.96718328658639</c:v>
                </c:pt>
                <c:pt idx="431">
                  <c:v>124.51799863675693</c:v>
                </c:pt>
                <c:pt idx="432">
                  <c:v>125.06940896087259</c:v>
                </c:pt>
                <c:pt idx="433">
                  <c:v>125.62138683367382</c:v>
                </c:pt>
                <c:pt idx="434">
                  <c:v>126.17390250848935</c:v>
                </c:pt>
                <c:pt idx="435">
                  <c:v>126.72692622770509</c:v>
                </c:pt>
                <c:pt idx="436">
                  <c:v>127.28042822334544</c:v>
                </c:pt>
                <c:pt idx="437">
                  <c:v>127.8343787176472</c:v>
                </c:pt>
                <c:pt idx="438">
                  <c:v>128.3887479236264</c:v>
                </c:pt>
                <c:pt idx="439">
                  <c:v>128.94350604563769</c:v>
                </c:pt>
                <c:pt idx="440">
                  <c:v>129.49862327992659</c:v>
                </c:pt>
                <c:pt idx="441">
                  <c:v>130.05406981517424</c:v>
                </c:pt>
                <c:pt idx="442">
                  <c:v>130.60981724033118</c:v>
                </c:pt>
                <c:pt idx="443">
                  <c:v>131.16583995346016</c:v>
                </c:pt>
                <c:pt idx="444">
                  <c:v>131.72211375543054</c:v>
                </c:pt>
                <c:pt idx="445">
                  <c:v>132.27861444250135</c:v>
                </c:pt>
                <c:pt idx="446">
                  <c:v>132.83531780665598</c:v>
                </c:pt>
                <c:pt idx="447">
                  <c:v>133.39219963593197</c:v>
                </c:pt>
                <c:pt idx="448">
                  <c:v>133.94923571474604</c:v>
                </c:pt>
                <c:pt idx="449">
                  <c:v>134.50640182421407</c:v>
                </c:pt>
                <c:pt idx="450">
                  <c:v>135.06367374246634</c:v>
                </c:pt>
                <c:pt idx="451">
                  <c:v>135.62102724495784</c:v>
                </c:pt>
                <c:pt idx="452">
                  <c:v>136.17843810477365</c:v>
                </c:pt>
                <c:pt idx="453">
                  <c:v>136.73588411626912</c:v>
                </c:pt>
                <c:pt idx="454">
                  <c:v>137.29334711977938</c:v>
                </c:pt>
                <c:pt idx="455">
                  <c:v>137.85081097869326</c:v>
                </c:pt>
                <c:pt idx="456">
                  <c:v>138.40825955536368</c:v>
                </c:pt>
                <c:pt idx="457">
                  <c:v>138.96567671122085</c:v>
                </c:pt>
                <c:pt idx="458">
                  <c:v>139.52304630688306</c:v>
                </c:pt>
                <c:pt idx="459">
                  <c:v>140.08035220226557</c:v>
                </c:pt>
                <c:pt idx="460">
                  <c:v>140.63757825668714</c:v>
                </c:pt>
                <c:pt idx="461">
                  <c:v>141.19471015556803</c:v>
                </c:pt>
                <c:pt idx="462">
                  <c:v>141.75173723795336</c:v>
                </c:pt>
                <c:pt idx="463">
                  <c:v>142.30865066994699</c:v>
                </c:pt>
                <c:pt idx="464">
                  <c:v>142.86544161727528</c:v>
                </c:pt>
                <c:pt idx="465">
                  <c:v>143.42210124530331</c:v>
                </c:pt>
                <c:pt idx="466">
                  <c:v>143.97861918141595</c:v>
                </c:pt>
                <c:pt idx="467">
                  <c:v>144.53498197674168</c:v>
                </c:pt>
                <c:pt idx="468">
                  <c:v>145.09115750600967</c:v>
                </c:pt>
                <c:pt idx="469">
                  <c:v>145.6471003434259</c:v>
                </c:pt>
                <c:pt idx="470">
                  <c:v>146.20278989250454</c:v>
                </c:pt>
                <c:pt idx="471">
                  <c:v>146.75822654823313</c:v>
                </c:pt>
                <c:pt idx="472">
                  <c:v>147.31341070477743</c:v>
                </c:pt>
                <c:pt idx="473">
                  <c:v>147.8683427554837</c:v>
                </c:pt>
                <c:pt idx="474">
                  <c:v>148.42302309288118</c:v>
                </c:pt>
                <c:pt idx="475">
                  <c:v>148.97745210868442</c:v>
                </c:pt>
                <c:pt idx="476">
                  <c:v>149.53163019379559</c:v>
                </c:pt>
                <c:pt idx="477">
                  <c:v>150.08555773830693</c:v>
                </c:pt>
                <c:pt idx="478">
                  <c:v>150.63923513150297</c:v>
                </c:pt>
                <c:pt idx="479">
                  <c:v>151.19266276186301</c:v>
                </c:pt>
                <c:pt idx="480">
                  <c:v>151.74584101706333</c:v>
                </c:pt>
                <c:pt idx="481">
                  <c:v>152.29877028397956</c:v>
                </c:pt>
                <c:pt idx="482">
                  <c:v>152.85145094868903</c:v>
                </c:pt>
                <c:pt idx="483">
                  <c:v>153.40388339647296</c:v>
                </c:pt>
                <c:pt idx="484">
                  <c:v>153.95606801181884</c:v>
                </c:pt>
                <c:pt idx="485">
                  <c:v>154.50800517842271</c:v>
                </c:pt>
                <c:pt idx="486">
                  <c:v>155.05969527919143</c:v>
                </c:pt>
                <c:pt idx="487">
                  <c:v>155.61113869624492</c:v>
                </c:pt>
                <c:pt idx="488">
                  <c:v>156.16233581091845</c:v>
                </c:pt>
                <c:pt idx="489">
                  <c:v>156.71328700376489</c:v>
                </c:pt>
                <c:pt idx="490">
                  <c:v>157.26399265455694</c:v>
                </c:pt>
                <c:pt idx="491">
                  <c:v>157.81445314228941</c:v>
                </c:pt>
                <c:pt idx="492">
                  <c:v>158.36466884518137</c:v>
                </c:pt>
                <c:pt idx="493">
                  <c:v>158.91464014067844</c:v>
                </c:pt>
                <c:pt idx="494">
                  <c:v>159.46436740545496</c:v>
                </c:pt>
                <c:pt idx="495">
                  <c:v>160.01385101541626</c:v>
                </c:pt>
                <c:pt idx="496">
                  <c:v>160.56309134570074</c:v>
                </c:pt>
                <c:pt idx="497">
                  <c:v>161.11208877068219</c:v>
                </c:pt>
                <c:pt idx="498">
                  <c:v>161.66084366397186</c:v>
                </c:pt>
                <c:pt idx="499">
                  <c:v>162.20935639842074</c:v>
                </c:pt>
                <c:pt idx="500">
                  <c:v>162.75762734612161</c:v>
                </c:pt>
                <c:pt idx="501">
                  <c:v>168.22706732210023</c:v>
                </c:pt>
                <c:pt idx="502">
                  <c:v>173.67256856140386</c:v>
                </c:pt>
                <c:pt idx="503">
                  <c:v>179.09449587859643</c:v>
                </c:pt>
                <c:pt idx="504">
                  <c:v>184.49320679487246</c:v>
                </c:pt>
                <c:pt idx="505">
                  <c:v>189.86905174127071</c:v>
                </c:pt>
                <c:pt idx="506">
                  <c:v>195.22237425482933</c:v>
                </c:pt>
                <c:pt idx="507">
                  <c:v>200.55351116797658</c:v>
                </c:pt>
                <c:pt idx="508">
                  <c:v>205.86279279143668</c:v>
                </c:pt>
                <c:pt idx="509">
                  <c:v>211.15054309091693</c:v>
                </c:pt>
                <c:pt idx="510">
                  <c:v>216.41707985782929</c:v>
                </c:pt>
                <c:pt idx="511">
                  <c:v>221.6627148742879</c:v>
                </c:pt>
                <c:pt idx="512">
                  <c:v>226.88775407261227</c:v>
                </c:pt>
                <c:pt idx="513">
                  <c:v>232.09249768955519</c:v>
                </c:pt>
                <c:pt idx="514">
                  <c:v>237.27724041546432</c:v>
                </c:pt>
                <c:pt idx="515">
                  <c:v>242.44227153857645</c:v>
                </c:pt>
                <c:pt idx="516">
                  <c:v>247.58787508463465</c:v>
                </c:pt>
                <c:pt idx="517">
                  <c:v>252.71432995200936</c:v>
                </c:pt>
                <c:pt idx="518">
                  <c:v>257.82191004249677</c:v>
                </c:pt>
                <c:pt idx="519">
                  <c:v>262.91088438795924</c:v>
                </c:pt>
                <c:pt idx="520">
                  <c:v>267.9815172729663</c:v>
                </c:pt>
                <c:pt idx="521">
                  <c:v>273.03406835358624</c:v>
                </c:pt>
                <c:pt idx="522">
                  <c:v>278.06879277247299</c:v>
                </c:pt>
                <c:pt idx="523">
                  <c:v>283.08594127038566</c:v>
                </c:pt>
                <c:pt idx="524">
                  <c:v>288.08576029427263</c:v>
                </c:pt>
                <c:pt idx="525">
                  <c:v>293.06849210204615</c:v>
                </c:pt>
                <c:pt idx="526">
                  <c:v>298.03437486416794</c:v>
                </c:pt>
                <c:pt idx="527">
                  <c:v>302.98364276216103</c:v>
                </c:pt>
                <c:pt idx="528">
                  <c:v>307.91652608415825</c:v>
                </c:pt>
                <c:pt idx="529">
                  <c:v>312.83325131759341</c:v>
                </c:pt>
                <c:pt idx="530">
                  <c:v>317.73404123913588</c:v>
                </c:pt>
                <c:pt idx="531">
                  <c:v>322.61911500196567</c:v>
                </c:pt>
                <c:pt idx="532">
                  <c:v>327.48868822048223</c:v>
                </c:pt>
                <c:pt idx="533">
                  <c:v>332.34297305253551</c:v>
                </c:pt>
                <c:pt idx="534">
                  <c:v>337.1821782792648</c:v>
                </c:pt>
                <c:pt idx="535">
                  <c:v>342.00650938262731</c:v>
                </c:pt>
                <c:pt idx="536">
                  <c:v>346.81616862069461</c:v>
                </c:pt>
                <c:pt idx="537">
                  <c:v>351.61135510079242</c:v>
                </c:pt>
                <c:pt idx="538">
                  <c:v>356.39226485055576</c:v>
                </c:pt>
                <c:pt idx="539">
                  <c:v>361.15909088696861</c:v>
                </c:pt>
                <c:pt idx="540">
                  <c:v>365.9120232834548</c:v>
                </c:pt>
                <c:pt idx="541">
                  <c:v>370.65124923508364</c:v>
                </c:pt>
                <c:pt idx="542">
                  <c:v>375.37695312195149</c:v>
                </c:pt>
                <c:pt idx="543">
                  <c:v>380.08931657079819</c:v>
                </c:pt>
                <c:pt idx="544">
                  <c:v>384.78851851491453</c:v>
                </c:pt>
                <c:pt idx="545">
                  <c:v>389.47473525239502</c:v>
                </c:pt>
                <c:pt idx="546">
                  <c:v>394.14814050278812</c:v>
                </c:pt>
                <c:pt idx="547">
                  <c:v>398.80890546219359</c:v>
                </c:pt>
                <c:pt idx="548">
                  <c:v>403.45719885685509</c:v>
                </c:pt>
                <c:pt idx="549">
                  <c:v>408.0931869952941</c:v>
                </c:pt>
                <c:pt idx="550">
                  <c:v>412.71703381902961</c:v>
                </c:pt>
                <c:pt idx="551">
                  <c:v>417.3289009519255</c:v>
                </c:pt>
                <c:pt idx="552">
                  <c:v>421.92894774820729</c:v>
                </c:pt>
                <c:pt idx="553">
                  <c:v>426.51733133918674</c:v>
                </c:pt>
                <c:pt idx="554">
                  <c:v>431.09420667873241</c:v>
                </c:pt>
                <c:pt idx="555">
                  <c:v>435.65972658752224</c:v>
                </c:pt>
                <c:pt idx="556">
                  <c:v>440.21404179611301</c:v>
                </c:pt>
                <c:pt idx="557">
                  <c:v>444.75730098685978</c:v>
                </c:pt>
                <c:pt idx="558">
                  <c:v>449.28965083471763</c:v>
                </c:pt>
                <c:pt idx="559">
                  <c:v>453.81123604695642</c:v>
                </c:pt>
                <c:pt idx="560">
                  <c:v>458.32219940181784</c:v>
                </c:pt>
                <c:pt idx="561">
                  <c:v>462.82268178614351</c:v>
                </c:pt>
                <c:pt idx="562">
                  <c:v>467.31282223200088</c:v>
                </c:pt>
                <c:pt idx="563">
                  <c:v>471.79275795233309</c:v>
                </c:pt>
                <c:pt idx="564">
                  <c:v>476.26262437565799</c:v>
                </c:pt>
                <c:pt idx="565">
                  <c:v>480.72255517983979</c:v>
                </c:pt>
                <c:pt idx="566">
                  <c:v>485.17268232495667</c:v>
                </c:pt>
                <c:pt idx="567">
                  <c:v>489.6131360852861</c:v>
                </c:pt>
                <c:pt idx="568">
                  <c:v>494.04404508042848</c:v>
                </c:pt>
                <c:pt idx="569">
                  <c:v>498.46553630558975</c:v>
                </c:pt>
                <c:pt idx="570">
                  <c:v>502.87773516104147</c:v>
                </c:pt>
                <c:pt idx="571">
                  <c:v>507.28076548077695</c:v>
                </c:pt>
                <c:pt idx="572">
                  <c:v>511.67474956038052</c:v>
                </c:pt>
                <c:pt idx="573">
                  <c:v>516.05980818412684</c:v>
                </c:pt>
                <c:pt idx="574">
                  <c:v>520.43606065132519</c:v>
                </c:pt>
                <c:pt idx="575">
                  <c:v>524.80362480192446</c:v>
                </c:pt>
                <c:pt idx="576">
                  <c:v>529.16261704139231</c:v>
                </c:pt>
                <c:pt idx="577">
                  <c:v>533.51315236488153</c:v>
                </c:pt>
                <c:pt idx="578">
                  <c:v>537.85534438069737</c:v>
                </c:pt>
                <c:pt idx="579">
                  <c:v>542.18930533307582</c:v>
                </c:pt>
                <c:pt idx="580">
                  <c:v>546.51514612428514</c:v>
                </c:pt>
                <c:pt idx="581">
                  <c:v>550.83297633606003</c:v>
                </c:pt>
                <c:pt idx="582">
                  <c:v>555.14290425037916</c:v>
                </c:pt>
                <c:pt idx="583">
                  <c:v>559.44503686959274</c:v>
                </c:pt>
                <c:pt idx="584">
                  <c:v>563.73947993591059</c:v>
                </c:pt>
                <c:pt idx="585">
                  <c:v>568.02633795025588</c:v>
                </c:pt>
                <c:pt idx="586">
                  <c:v>572.30571419049284</c:v>
                </c:pt>
                <c:pt idx="587">
                  <c:v>576.57771072903302</c:v>
                </c:pt>
                <c:pt idx="588">
                  <c:v>580.842428449826</c:v>
                </c:pt>
                <c:pt idx="589">
                  <c:v>585.09996706473828</c:v>
                </c:pt>
                <c:pt idx="590">
                  <c:v>589.35042512932534</c:v>
                </c:pt>
                <c:pt idx="591">
                  <c:v>593.59390005799776</c:v>
                </c:pt>
                <c:pt idx="592">
                  <c:v>597.83048813858591</c:v>
                </c:pt>
                <c:pt idx="593">
                  <c:v>602.06028454630257</c:v>
                </c:pt>
                <c:pt idx="594">
                  <c:v>606.28338335710589</c:v>
                </c:pt>
                <c:pt idx="595">
                  <c:v>610.49987756046141</c:v>
                </c:pt>
                <c:pt idx="596">
                  <c:v>614.70985907150316</c:v>
                </c:pt>
                <c:pt idx="597">
                  <c:v>618.91341874259194</c:v>
                </c:pt>
                <c:pt idx="598">
                  <c:v>623.11064637426819</c:v>
                </c:pt>
                <c:pt idx="599">
                  <c:v>627.30163072559651</c:v>
                </c:pt>
                <c:pt idx="600">
                  <c:v>631.48645952389825</c:v>
                </c:pt>
                <c:pt idx="601">
                  <c:v>635.6652194738665</c:v>
                </c:pt>
                <c:pt idx="602">
                  <c:v>639.83799626605889</c:v>
                </c:pt>
                <c:pt idx="603">
                  <c:v>644.00487458476096</c:v>
                </c:pt>
                <c:pt idx="604">
                  <c:v>648.16593811521318</c:v>
                </c:pt>
                <c:pt idx="605">
                  <c:v>652.32126955019351</c:v>
                </c:pt>
                <c:pt idx="606">
                  <c:v>656.47095059594687</c:v>
                </c:pt>
                <c:pt idx="607">
                  <c:v>660.61506197745086</c:v>
                </c:pt>
                <c:pt idx="608">
                  <c:v>664.75368344300773</c:v>
                </c:pt>
                <c:pt idx="609">
                  <c:v>668.88689376815114</c:v>
                </c:pt>
                <c:pt idx="610">
                  <c:v>673.01477075885498</c:v>
                </c:pt>
                <c:pt idx="611">
                  <c:v>677.13739125403129</c:v>
                </c:pt>
                <c:pt idx="612">
                  <c:v>681.25483112730319</c:v>
                </c:pt>
                <c:pt idx="613">
                  <c:v>685.36716528803822</c:v>
                </c:pt>
                <c:pt idx="614">
                  <c:v>689.47446768162638</c:v>
                </c:pt>
                <c:pt idx="615">
                  <c:v>693.57681128898651</c:v>
                </c:pt>
                <c:pt idx="616">
                  <c:v>697.67426812528493</c:v>
                </c:pt>
                <c:pt idx="617">
                  <c:v>701.76690923784736</c:v>
                </c:pt>
                <c:pt idx="618">
                  <c:v>705.85480470324762</c:v>
                </c:pt>
                <c:pt idx="619">
                  <c:v>709.93802362355359</c:v>
                </c:pt>
                <c:pt idx="620">
                  <c:v>714.01663412171263</c:v>
                </c:pt>
                <c:pt idx="621">
                  <c:v>718.09070333605655</c:v>
                </c:pt>
                <c:pt idx="622">
                  <c:v>722.1602974139081</c:v>
                </c:pt>
                <c:pt idx="623">
                  <c:v>726.22548150426962</c:v>
                </c:pt>
                <c:pt idx="624">
                  <c:v>730.28631974957557</c:v>
                </c:pt>
                <c:pt idx="625">
                  <c:v>734.34287527649133</c:v>
                </c:pt>
                <c:pt idx="626">
                  <c:v>738.39521018574112</c:v>
                </c:pt>
                <c:pt idx="627">
                  <c:v>742.44338554094963</c:v>
                </c:pt>
                <c:pt idx="628">
                  <c:v>746.48746135648241</c:v>
                </c:pt>
                <c:pt idx="629">
                  <c:v>750.52749658427365</c:v>
                </c:pt>
                <c:pt idx="630">
                  <c:v>754.56354909963068</c:v>
                </c:pt>
                <c:pt idx="631">
                  <c:v>758.59567568600846</c:v>
                </c:pt>
                <c:pt idx="632">
                  <c:v>762.62393201875011</c:v>
                </c:pt>
                <c:pt idx="633">
                  <c:v>766.64837264779339</c:v>
                </c:pt>
                <c:pt idx="634">
                  <c:v>770.66905097934841</c:v>
                </c:pt>
                <c:pt idx="635">
                  <c:v>774.68601925655571</c:v>
                </c:pt>
                <c:pt idx="636">
                  <c:v>778.69932853914077</c:v>
                </c:pt>
                <c:pt idx="637">
                  <c:v>782.70902868208782</c:v>
                </c:pt>
                <c:pt idx="638">
                  <c:v>786.71516831336157</c:v>
                </c:pt>
                <c:pt idx="639">
                  <c:v>790.7177948107161</c:v>
                </c:pt>
                <c:pt idx="640">
                  <c:v>794.71695427763746</c:v>
                </c:pt>
                <c:pt idx="641">
                  <c:v>798.71269151847639</c:v>
                </c:pt>
                <c:pt idx="642">
                  <c:v>802.70505001283948</c:v>
                </c:pt>
                <c:pt idx="643">
                  <c:v>806.69407188931621</c:v>
                </c:pt>
                <c:pt idx="644">
                  <c:v>810.67979789863375</c:v>
                </c:pt>
                <c:pt idx="645">
                  <c:v>814.66226738634214</c:v>
                </c:pt>
                <c:pt idx="646">
                  <c:v>818.6415182651449</c:v>
                </c:pt>
                <c:pt idx="647">
                  <c:v>822.61758698700635</c:v>
                </c:pt>
                <c:pt idx="648">
                  <c:v>826.59050851517554</c:v>
                </c:pt>
                <c:pt idx="649">
                  <c:v>830.56031629628421</c:v>
                </c:pt>
                <c:pt idx="650">
                  <c:v>834.52704223268574</c:v>
                </c:pt>
                <c:pt idx="651">
                  <c:v>838.49071665521444</c:v>
                </c:pt>
                <c:pt idx="652">
                  <c:v>842.45136829655712</c:v>
                </c:pt>
                <c:pt idx="653">
                  <c:v>846.40902426543539</c:v>
                </c:pt>
                <c:pt idx="654">
                  <c:v>850.3637100218067</c:v>
                </c:pt>
                <c:pt idx="655">
                  <c:v>854.31544935329669</c:v>
                </c:pt>
                <c:pt idx="656">
                  <c:v>858.26426435307917</c:v>
                </c:pt>
                <c:pt idx="657">
                  <c:v>862.21017539941818</c:v>
                </c:pt>
                <c:pt idx="658">
                  <c:v>866.15320113708685</c:v>
                </c:pt>
                <c:pt idx="659">
                  <c:v>870.09335846086901</c:v>
                </c:pt>
                <c:pt idx="660">
                  <c:v>874.03066250134032</c:v>
                </c:pt>
                <c:pt idx="661">
                  <c:v>877.96512661311476</c:v>
                </c:pt>
                <c:pt idx="662">
                  <c:v>881.89676236572291</c:v>
                </c:pt>
                <c:pt idx="663">
                  <c:v>885.82557953727166</c:v>
                </c:pt>
                <c:pt idx="664">
                  <c:v>889.75158611101074</c:v>
                </c:pt>
                <c:pt idx="665">
                  <c:v>893.6747882749064</c:v>
                </c:pt>
                <c:pt idx="666">
                  <c:v>897.59519042429724</c:v>
                </c:pt>
                <c:pt idx="667">
                  <c:v>901.51279516767534</c:v>
                </c:pt>
                <c:pt idx="668">
                  <c:v>905.42760333560864</c:v>
                </c:pt>
                <c:pt idx="669">
                  <c:v>909.33961399278871</c:v>
                </c:pt>
                <c:pt idx="670">
                  <c:v>913.2488244531595</c:v>
                </c:pt>
                <c:pt idx="671">
                  <c:v>917.15523029805195</c:v>
                </c:pt>
                <c:pt idx="672">
                  <c:v>921.05882539722427</c:v>
                </c:pt>
                <c:pt idx="673">
                  <c:v>924.95960193268024</c:v>
                </c:pt>
                <c:pt idx="674">
                  <c:v>928.85755042511653</c:v>
                </c:pt>
                <c:pt idx="675">
                  <c:v>932.75265976283049</c:v>
                </c:pt>
                <c:pt idx="676">
                  <c:v>936.64491723290178</c:v>
                </c:pt>
                <c:pt idx="677">
                  <c:v>940.53430855445049</c:v>
                </c:pt>
                <c:pt idx="678">
                  <c:v>944.42081791376279</c:v>
                </c:pt>
                <c:pt idx="679">
                  <c:v>948.30442800107039</c:v>
                </c:pt>
                <c:pt idx="680">
                  <c:v>952.18512004876595</c:v>
                </c:pt>
                <c:pt idx="681">
                  <c:v>956.06287387083853</c:v>
                </c:pt>
                <c:pt idx="682">
                  <c:v>959.93766790331506</c:v>
                </c:pt>
                <c:pt idx="683">
                  <c:v>963.80947924549992</c:v>
                </c:pt>
                <c:pt idx="684">
                  <c:v>967.67828370181189</c:v>
                </c:pt>
                <c:pt idx="685">
                  <c:v>971.54405582402956</c:v>
                </c:pt>
                <c:pt idx="686">
                  <c:v>975.40676895376419</c:v>
                </c:pt>
                <c:pt idx="687">
                  <c:v>979.26639526499457</c:v>
                </c:pt>
                <c:pt idx="688">
                  <c:v>983.12290580650892</c:v>
                </c:pt>
                <c:pt idx="689">
                  <c:v>986.9762705441135</c:v>
                </c:pt>
                <c:pt idx="690">
                  <c:v>990.82645840248222</c:v>
                </c:pt>
                <c:pt idx="691">
                  <c:v>994.67343730653226</c:v>
                </c:pt>
                <c:pt idx="692">
                  <c:v>998.51717422222771</c:v>
                </c:pt>
                <c:pt idx="693">
                  <c:v>1002.357635196723</c:v>
                </c:pt>
                <c:pt idx="694">
                  <c:v>1006.1947853977725</c:v>
                </c:pt>
                <c:pt idx="695">
                  <c:v>1010.0285891523432</c:v>
                </c:pt>
                <c:pt idx="696">
                  <c:v>1013.8590099843778</c:v>
                </c:pt>
                <c:pt idx="697">
                  <c:v>1017.6860106516674</c:v>
                </c:pt>
                <c:pt idx="698">
                  <c:v>1021.5095531818002</c:v>
                </c:pt>
                <c:pt idx="699">
                  <c:v>1025.3295989071632</c:v>
                </c:pt>
                <c:pt idx="700">
                  <c:v>1029.1461084989792</c:v>
                </c:pt>
                <c:pt idx="701">
                  <c:v>1032.9590420003692</c:v>
                </c:pt>
                <c:pt idx="702">
                  <c:v>1036.7683588584391</c:v>
                </c:pt>
                <c:pt idx="703">
                  <c:v>1040.5740179553877</c:v>
                </c:pt>
                <c:pt idx="704">
                  <c:v>1044.3759776386471</c:v>
                </c:pt>
                <c:pt idx="705">
                  <c:v>1048.1741957500622</c:v>
                </c:pt>
                <c:pt idx="706">
                  <c:v>1051.9686296541249</c:v>
                </c:pt>
                <c:pt idx="707">
                  <c:v>1055.7592362652783</c:v>
                </c:pt>
                <c:pt idx="708">
                  <c:v>1059.5459720743106</c:v>
                </c:pt>
                <c:pt idx="709">
                  <c:v>1063.3287931738589</c:v>
                </c:pt>
                <c:pt idx="710">
                  <c:v>1067.1076552830455</c:v>
                </c:pt>
                <c:pt idx="711">
                  <c:v>1070.8825137712702</c:v>
                </c:pt>
                <c:pt idx="712">
                  <c:v>1074.6533236811836</c:v>
                </c:pt>
                <c:pt idx="713">
                  <c:v>1078.4200397508646</c:v>
                </c:pt>
                <c:pt idx="714">
                  <c:v>1082.1826164352303</c:v>
                </c:pt>
                <c:pt idx="715">
                  <c:v>1085.9410079267004</c:v>
                </c:pt>
                <c:pt idx="716">
                  <c:v>1089.6951681751457</c:v>
                </c:pt>
                <c:pt idx="717">
                  <c:v>1093.4450509071416</c:v>
                </c:pt>
                <c:pt idx="718">
                  <c:v>1097.1906096445568</c:v>
                </c:pt>
                <c:pt idx="719">
                  <c:v>1100.9317977224966</c:v>
                </c:pt>
                <c:pt idx="720">
                  <c:v>1104.6685683066294</c:v>
                </c:pt>
                <c:pt idx="721">
                  <c:v>1108.4008744099174</c:v>
                </c:pt>
                <c:pt idx="722">
                  <c:v>1112.1286689087769</c:v>
                </c:pt>
                <c:pt idx="723">
                  <c:v>1115.8519045586879</c:v>
                </c:pt>
                <c:pt idx="724">
                  <c:v>1119.5705340092768</c:v>
                </c:pt>
                <c:pt idx="725">
                  <c:v>1123.2845098188932</c:v>
                </c:pt>
                <c:pt idx="726">
                  <c:v>1126.9937844687001</c:v>
                </c:pt>
                <c:pt idx="727">
                  <c:v>1130.6983103762987</c:v>
                </c:pt>
                <c:pt idx="728">
                  <c:v>1134.3980399089041</c:v>
                </c:pt>
                <c:pt idx="729">
                  <c:v>1138.0929253960942</c:v>
                </c:pt>
                <c:pt idx="730">
                  <c:v>1141.782919142144</c:v>
                </c:pt>
                <c:pt idx="731">
                  <c:v>1145.4679734379677</c:v>
                </c:pt>
                <c:pt idx="732">
                  <c:v>1149.1480405726797</c:v>
                </c:pt>
                <c:pt idx="733">
                  <c:v>1152.8230728447941</c:v>
                </c:pt>
                <c:pt idx="734">
                  <c:v>1156.4930225730732</c:v>
                </c:pt>
                <c:pt idx="735">
                  <c:v>1160.1578421070435</c:v>
                </c:pt>
                <c:pt idx="736">
                  <c:v>1163.817483837189</c:v>
                </c:pt>
                <c:pt idx="737">
                  <c:v>1167.4719002048369</c:v>
                </c:pt>
                <c:pt idx="738">
                  <c:v>1171.1210437117466</c:v>
                </c:pt>
                <c:pt idx="739">
                  <c:v>1174.7648669294156</c:v>
                </c:pt>
                <c:pt idx="740">
                  <c:v>1178.4033225081109</c:v>
                </c:pt>
                <c:pt idx="741">
                  <c:v>1182.0363631856385</c:v>
                </c:pt>
                <c:pt idx="742">
                  <c:v>1185.6639417958606</c:v>
                </c:pt>
                <c:pt idx="743">
                  <c:v>1189.2860112769702</c:v>
                </c:pt>
                <c:pt idx="744">
                  <c:v>1192.902524679532</c:v>
                </c:pt>
                <c:pt idx="745">
                  <c:v>1196.5134351742993</c:v>
                </c:pt>
                <c:pt idx="746">
                  <c:v>1200.1186960598138</c:v>
                </c:pt>
                <c:pt idx="747">
                  <c:v>1203.7182607697985</c:v>
                </c:pt>
                <c:pt idx="748">
                  <c:v>1207.312082880348</c:v>
                </c:pt>
                <c:pt idx="749">
                  <c:v>1210.9001161169278</c:v>
                </c:pt>
                <c:pt idx="750">
                  <c:v>1214.482314361185</c:v>
                </c:pt>
                <c:pt idx="751">
                  <c:v>1218.0586316575796</c:v>
                </c:pt>
                <c:pt idx="752">
                  <c:v>1221.6290222198434</c:v>
                </c:pt>
                <c:pt idx="753">
                  <c:v>1225.1934404372691</c:v>
                </c:pt>
                <c:pt idx="754">
                  <c:v>1228.7518408808394</c:v>
                </c:pt>
                <c:pt idx="755">
                  <c:v>1232.3041783091967</c:v>
                </c:pt>
                <c:pt idx="756">
                  <c:v>1235.8504076744641</c:v>
                </c:pt>
                <c:pt idx="757">
                  <c:v>1239.3904841279179</c:v>
                </c:pt>
                <c:pt idx="758">
                  <c:v>1242.9243630255187</c:v>
                </c:pt>
                <c:pt idx="759">
                  <c:v>1246.4519999333045</c:v>
                </c:pt>
                <c:pt idx="760">
                  <c:v>1249.9733506326506</c:v>
                </c:pt>
                <c:pt idx="761">
                  <c:v>1253.4883711254004</c:v>
                </c:pt>
                <c:pt idx="762">
                  <c:v>1256.9970176388699</c:v>
                </c:pt>
                <c:pt idx="763">
                  <c:v>1260.4992466307312</c:v>
                </c:pt>
                <c:pt idx="764">
                  <c:v>1263.9950147937768</c:v>
                </c:pt>
                <c:pt idx="765">
                  <c:v>1267.4842790605685</c:v>
                </c:pt>
                <c:pt idx="766">
                  <c:v>1270.9669966079759</c:v>
                </c:pt>
                <c:pt idx="767">
                  <c:v>1274.443124861604</c:v>
                </c:pt>
                <c:pt idx="768">
                  <c:v>1277.9126215001154</c:v>
                </c:pt>
                <c:pt idx="769">
                  <c:v>1281.3754444594499</c:v>
                </c:pt>
                <c:pt idx="770">
                  <c:v>1284.8315519369417</c:v>
                </c:pt>
                <c:pt idx="771">
                  <c:v>1288.2809023953394</c:v>
                </c:pt>
                <c:pt idx="772">
                  <c:v>1291.7234545667302</c:v>
                </c:pt>
                <c:pt idx="773">
                  <c:v>1295.1591674563697</c:v>
                </c:pt>
                <c:pt idx="774">
                  <c:v>1298.5880003464197</c:v>
                </c:pt>
                <c:pt idx="775">
                  <c:v>1302.0099127995984</c:v>
                </c:pt>
                <c:pt idx="776">
                  <c:v>1305.4248646627411</c:v>
                </c:pt>
                <c:pt idx="777">
                  <c:v>1308.8328160702761</c:v>
                </c:pt>
                <c:pt idx="778">
                  <c:v>1312.2337274476167</c:v>
                </c:pt>
                <c:pt idx="779">
                  <c:v>1315.6275595144714</c:v>
                </c:pt>
                <c:pt idx="780">
                  <c:v>1319.014273288072</c:v>
                </c:pt>
                <c:pt idx="781">
                  <c:v>1322.3938300863251</c:v>
                </c:pt>
                <c:pt idx="782">
                  <c:v>1325.7661915308843</c:v>
                </c:pt>
                <c:pt idx="783">
                  <c:v>1329.1313195501466</c:v>
                </c:pt>
                <c:pt idx="784">
                  <c:v>1332.4891763821749</c:v>
                </c:pt>
                <c:pt idx="785">
                  <c:v>1335.839724577547</c:v>
                </c:pt>
                <c:pt idx="786">
                  <c:v>1339.182927002131</c:v>
                </c:pt>
                <c:pt idx="787">
                  <c:v>1342.5187468397919</c:v>
                </c:pt>
                <c:pt idx="788">
                  <c:v>1345.8471475950269</c:v>
                </c:pt>
                <c:pt idx="789">
                  <c:v>1349.1680930955324</c:v>
                </c:pt>
                <c:pt idx="790">
                  <c:v>1352.481547494704</c:v>
                </c:pt>
                <c:pt idx="791">
                  <c:v>1355.7874752740686</c:v>
                </c:pt>
                <c:pt idx="792">
                  <c:v>1359.0858412456521</c:v>
                </c:pt>
                <c:pt idx="793">
                  <c:v>1362.3766105542818</c:v>
                </c:pt>
                <c:pt idx="794">
                  <c:v>1365.659748679825</c:v>
                </c:pt>
                <c:pt idx="795">
                  <c:v>1368.9352214393646</c:v>
                </c:pt>
                <c:pt idx="796">
                  <c:v>1372.2029949893124</c:v>
                </c:pt>
                <c:pt idx="797">
                  <c:v>1375.4630358274619</c:v>
                </c:pt>
                <c:pt idx="798">
                  <c:v>1378.7153107949796</c:v>
                </c:pt>
                <c:pt idx="799">
                  <c:v>1381.9597870783366</c:v>
                </c:pt>
                <c:pt idx="800">
                  <c:v>1385.1964322111814</c:v>
                </c:pt>
                <c:pt idx="801">
                  <c:v>1388.4252140761548</c:v>
                </c:pt>
                <c:pt idx="802">
                  <c:v>1391.646100906645</c:v>
                </c:pt>
                <c:pt idx="803">
                  <c:v>1394.8590612884882</c:v>
                </c:pt>
                <c:pt idx="804">
                  <c:v>1398.064064161611</c:v>
                </c:pt>
                <c:pt idx="805">
                  <c:v>1401.261078821617</c:v>
                </c:pt>
                <c:pt idx="806">
                  <c:v>1404.4500749213191</c:v>
                </c:pt>
                <c:pt idx="807">
                  <c:v>1407.6310224722156</c:v>
                </c:pt>
                <c:pt idx="808">
                  <c:v>1410.8038918459135</c:v>
                </c:pt>
                <c:pt idx="809">
                  <c:v>1413.9686537754972</c:v>
                </c:pt>
                <c:pt idx="810">
                  <c:v>1417.1252793568437</c:v>
                </c:pt>
                <c:pt idx="811">
                  <c:v>1420.2737400498872</c:v>
                </c:pt>
                <c:pt idx="812">
                  <c:v>1423.4140076798283</c:v>
                </c:pt>
                <c:pt idx="813">
                  <c:v>1426.5460544382943</c:v>
                </c:pt>
                <c:pt idx="814">
                  <c:v>1429.669852884447</c:v>
                </c:pt>
                <c:pt idx="815">
                  <c:v>1432.7853759460399</c:v>
                </c:pt>
                <c:pt idx="816">
                  <c:v>1435.8925969204254</c:v>
                </c:pt>
                <c:pt idx="817">
                  <c:v>1438.9914894755109</c:v>
                </c:pt>
                <c:pt idx="818">
                  <c:v>1442.0820276506672</c:v>
                </c:pt>
                <c:pt idx="819">
                  <c:v>1445.1641858575865</c:v>
                </c:pt>
                <c:pt idx="820">
                  <c:v>1448.2379388810923</c:v>
                </c:pt>
                <c:pt idx="821">
                  <c:v>1451.3032618799011</c:v>
                </c:pt>
                <c:pt idx="822">
                  <c:v>1454.3601303873356</c:v>
                </c:pt>
                <c:pt idx="823">
                  <c:v>1457.4085203119917</c:v>
                </c:pt>
                <c:pt idx="824">
                  <c:v>1460.4484079383565</c:v>
                </c:pt>
                <c:pt idx="825">
                  <c:v>1463.479769927382</c:v>
                </c:pt>
                <c:pt idx="826">
                  <c:v>1466.5025833170105</c:v>
                </c:pt>
                <c:pt idx="827">
                  <c:v>1469.5168255226545</c:v>
                </c:pt>
                <c:pt idx="828">
                  <c:v>1472.5224743376314</c:v>
                </c:pt>
                <c:pt idx="829">
                  <c:v>1475.5195079335533</c:v>
                </c:pt>
                <c:pt idx="830">
                  <c:v>1478.5079048606708</c:v>
                </c:pt>
                <c:pt idx="831">
                  <c:v>1481.4876440481733</c:v>
                </c:pt>
                <c:pt idx="832">
                  <c:v>1484.4587048044439</c:v>
                </c:pt>
                <c:pt idx="833">
                  <c:v>1487.421066817272</c:v>
                </c:pt>
                <c:pt idx="834">
                  <c:v>1490.3747101540221</c:v>
                </c:pt>
                <c:pt idx="835">
                  <c:v>1493.3196152617577</c:v>
                </c:pt>
                <c:pt idx="836">
                  <c:v>1496.2557629673249</c:v>
                </c:pt>
                <c:pt idx="837">
                  <c:v>1499.1831344773923</c:v>
                </c:pt>
                <c:pt idx="838">
                  <c:v>1502.1017113784483</c:v>
                </c:pt>
                <c:pt idx="839">
                  <c:v>1505.0114756367577</c:v>
                </c:pt>
                <c:pt idx="840">
                  <c:v>1507.9124095982766</c:v>
                </c:pt>
                <c:pt idx="841">
                  <c:v>1510.8044959885256</c:v>
                </c:pt>
                <c:pt idx="842">
                  <c:v>1513.6877179124231</c:v>
                </c:pt>
                <c:pt idx="843">
                  <c:v>1516.5620588540776</c:v>
                </c:pt>
                <c:pt idx="844">
                  <c:v>1519.4275026765401</c:v>
                </c:pt>
                <c:pt idx="845">
                  <c:v>1522.2840336215174</c:v>
                </c:pt>
                <c:pt idx="846">
                  <c:v>1525.1316363090443</c:v>
                </c:pt>
                <c:pt idx="847">
                  <c:v>1527.9702957371192</c:v>
                </c:pt>
                <c:pt idx="848">
                  <c:v>1530.7999972812984</c:v>
                </c:pt>
                <c:pt idx="849">
                  <c:v>1533.6207266942545</c:v>
                </c:pt>
                <c:pt idx="850">
                  <c:v>1536.4324701052947</c:v>
                </c:pt>
                <c:pt idx="851">
                  <c:v>1539.2352140198432</c:v>
                </c:pt>
                <c:pt idx="852">
                  <c:v>1542.0289453188846</c:v>
                </c:pt>
                <c:pt idx="853">
                  <c:v>1544.8136512583717</c:v>
                </c:pt>
                <c:pt idx="854">
                  <c:v>1547.5893194685957</c:v>
                </c:pt>
                <c:pt idx="855">
                  <c:v>1550.3559379535209</c:v>
                </c:pt>
                <c:pt idx="856">
                  <c:v>1553.1134950900828</c:v>
                </c:pt>
                <c:pt idx="857">
                  <c:v>1555.8619796274511</c:v>
                </c:pt>
                <c:pt idx="858">
                  <c:v>1558.601380686257</c:v>
                </c:pt>
                <c:pt idx="859">
                  <c:v>1561.3316877577861</c:v>
                </c:pt>
                <c:pt idx="860">
                  <c:v>1564.0528907031367</c:v>
                </c:pt>
                <c:pt idx="861">
                  <c:v>1566.7649797523432</c:v>
                </c:pt>
                <c:pt idx="862">
                  <c:v>1569.467945503467</c:v>
                </c:pt>
                <c:pt idx="863">
                  <c:v>1572.1617789216532</c:v>
                </c:pt>
                <c:pt idx="864">
                  <c:v>1574.8464713381536</c:v>
                </c:pt>
                <c:pt idx="865">
                  <c:v>1577.522014449318</c:v>
                </c:pt>
                <c:pt idx="866">
                  <c:v>1580.1884003155533</c:v>
                </c:pt>
                <c:pt idx="867">
                  <c:v>1582.8456213602492</c:v>
                </c:pt>
                <c:pt idx="868">
                  <c:v>1585.4936703686742</c:v>
                </c:pt>
                <c:pt idx="869">
                  <c:v>1588.1325404868383</c:v>
                </c:pt>
                <c:pt idx="870">
                  <c:v>1590.7622252203266</c:v>
                </c:pt>
                <c:pt idx="871">
                  <c:v>1593.3827184331017</c:v>
                </c:pt>
                <c:pt idx="872">
                  <c:v>1595.9940143462752</c:v>
                </c:pt>
                <c:pt idx="873">
                  <c:v>1598.5961075368512</c:v>
                </c:pt>
                <c:pt idx="874">
                  <c:v>1601.1889929364384</c:v>
                </c:pt>
                <c:pt idx="875">
                  <c:v>1603.7726658299352</c:v>
                </c:pt>
                <c:pt idx="876">
                  <c:v>1606.3471218541847</c:v>
                </c:pt>
                <c:pt idx="877">
                  <c:v>1608.9123569966018</c:v>
                </c:pt>
                <c:pt idx="878">
                  <c:v>1611.4683675937733</c:v>
                </c:pt>
                <c:pt idx="879">
                  <c:v>1614.0151503300297</c:v>
                </c:pt>
                <c:pt idx="880">
                  <c:v>1616.5527022359895</c:v>
                </c:pt>
                <c:pt idx="881">
                  <c:v>1619.0810206870783</c:v>
                </c:pt>
                <c:pt idx="882">
                  <c:v>1621.6001034020205</c:v>
                </c:pt>
                <c:pt idx="883">
                  <c:v>1624.1099484413055</c:v>
                </c:pt>
                <c:pt idx="884">
                  <c:v>1626.6105542056277</c:v>
                </c:pt>
                <c:pt idx="885">
                  <c:v>1629.101919434303</c:v>
                </c:pt>
                <c:pt idx="886">
                  <c:v>1631.5840432036587</c:v>
                </c:pt>
                <c:pt idx="887">
                  <c:v>1634.0569249254002</c:v>
                </c:pt>
                <c:pt idx="888">
                  <c:v>1636.5205643449535</c:v>
                </c:pt>
                <c:pt idx="889">
                  <c:v>1638.9749615397848</c:v>
                </c:pt>
                <c:pt idx="890">
                  <c:v>1638.9749615397848</c:v>
                </c:pt>
                <c:pt idx="891">
                  <c:v>1638.9749615397848</c:v>
                </c:pt>
                <c:pt idx="892">
                  <c:v>1638.9749615397848</c:v>
                </c:pt>
                <c:pt idx="893">
                  <c:v>1638.9749615397848</c:v>
                </c:pt>
                <c:pt idx="894">
                  <c:v>1638.9749615397848</c:v>
                </c:pt>
                <c:pt idx="895">
                  <c:v>1638.9749615397848</c:v>
                </c:pt>
                <c:pt idx="896">
                  <c:v>1638.9749615397848</c:v>
                </c:pt>
                <c:pt idx="897">
                  <c:v>1638.9749615397848</c:v>
                </c:pt>
                <c:pt idx="898">
                  <c:v>1638.9749615397848</c:v>
                </c:pt>
                <c:pt idx="899">
                  <c:v>1638.9749615397848</c:v>
                </c:pt>
                <c:pt idx="900">
                  <c:v>1638.9749615397848</c:v>
                </c:pt>
                <c:pt idx="901">
                  <c:v>1638.9749615397848</c:v>
                </c:pt>
                <c:pt idx="902">
                  <c:v>1638.9749615397848</c:v>
                </c:pt>
                <c:pt idx="903">
                  <c:v>1638.9749615397848</c:v>
                </c:pt>
                <c:pt idx="904">
                  <c:v>1638.9749615397848</c:v>
                </c:pt>
                <c:pt idx="905">
                  <c:v>1638.9749615397848</c:v>
                </c:pt>
                <c:pt idx="906">
                  <c:v>1638.9749615397848</c:v>
                </c:pt>
                <c:pt idx="907">
                  <c:v>1638.9749615397848</c:v>
                </c:pt>
                <c:pt idx="908">
                  <c:v>1638.9749615397848</c:v>
                </c:pt>
                <c:pt idx="909">
                  <c:v>1638.9749615397848</c:v>
                </c:pt>
                <c:pt idx="910">
                  <c:v>1638.9749615397848</c:v>
                </c:pt>
                <c:pt idx="911">
                  <c:v>1638.9749615397848</c:v>
                </c:pt>
                <c:pt idx="912">
                  <c:v>1638.9749615397848</c:v>
                </c:pt>
                <c:pt idx="913">
                  <c:v>1638.9749615397848</c:v>
                </c:pt>
                <c:pt idx="914">
                  <c:v>1638.9749615397848</c:v>
                </c:pt>
                <c:pt idx="915">
                  <c:v>1638.9749615397848</c:v>
                </c:pt>
                <c:pt idx="916">
                  <c:v>1638.9749615397848</c:v>
                </c:pt>
                <c:pt idx="917">
                  <c:v>1638.9749615397848</c:v>
                </c:pt>
                <c:pt idx="918">
                  <c:v>1638.9749615397848</c:v>
                </c:pt>
                <c:pt idx="919">
                  <c:v>1638.9749615397848</c:v>
                </c:pt>
                <c:pt idx="920">
                  <c:v>1638.9749615397848</c:v>
                </c:pt>
                <c:pt idx="921">
                  <c:v>1638.9749615397848</c:v>
                </c:pt>
                <c:pt idx="922">
                  <c:v>1638.9749615397848</c:v>
                </c:pt>
                <c:pt idx="923">
                  <c:v>1638.9749615397848</c:v>
                </c:pt>
                <c:pt idx="924">
                  <c:v>1638.9749615397848</c:v>
                </c:pt>
                <c:pt idx="925">
                  <c:v>1638.9749615397848</c:v>
                </c:pt>
                <c:pt idx="926">
                  <c:v>1638.9749615397848</c:v>
                </c:pt>
                <c:pt idx="927">
                  <c:v>1638.9749615397848</c:v>
                </c:pt>
                <c:pt idx="928">
                  <c:v>1638.9749615397848</c:v>
                </c:pt>
                <c:pt idx="929">
                  <c:v>1638.9749615397848</c:v>
                </c:pt>
                <c:pt idx="930">
                  <c:v>1638.9749615397848</c:v>
                </c:pt>
                <c:pt idx="931">
                  <c:v>1638.9749615397848</c:v>
                </c:pt>
                <c:pt idx="932">
                  <c:v>1638.9749615397848</c:v>
                </c:pt>
                <c:pt idx="933">
                  <c:v>1638.9749615397848</c:v>
                </c:pt>
                <c:pt idx="934">
                  <c:v>1638.9749615397848</c:v>
                </c:pt>
                <c:pt idx="935">
                  <c:v>1638.9749615397848</c:v>
                </c:pt>
                <c:pt idx="936">
                  <c:v>1638.9749615397848</c:v>
                </c:pt>
                <c:pt idx="937">
                  <c:v>1638.9749615397848</c:v>
                </c:pt>
                <c:pt idx="938">
                  <c:v>1638.9749615397848</c:v>
                </c:pt>
                <c:pt idx="939">
                  <c:v>1638.9749615397848</c:v>
                </c:pt>
                <c:pt idx="940">
                  <c:v>1638.9749615397848</c:v>
                </c:pt>
                <c:pt idx="941">
                  <c:v>1638.9749615397848</c:v>
                </c:pt>
                <c:pt idx="942">
                  <c:v>1638.9749615397848</c:v>
                </c:pt>
                <c:pt idx="943">
                  <c:v>1638.9749615397848</c:v>
                </c:pt>
                <c:pt idx="944">
                  <c:v>1638.9749615397848</c:v>
                </c:pt>
                <c:pt idx="945">
                  <c:v>1638.9749615397848</c:v>
                </c:pt>
                <c:pt idx="946">
                  <c:v>1638.9749615397848</c:v>
                </c:pt>
                <c:pt idx="947">
                  <c:v>1638.9749615397848</c:v>
                </c:pt>
                <c:pt idx="948">
                  <c:v>1638.9749615397848</c:v>
                </c:pt>
                <c:pt idx="949">
                  <c:v>1638.9749615397848</c:v>
                </c:pt>
                <c:pt idx="950">
                  <c:v>1638.9749615397848</c:v>
                </c:pt>
                <c:pt idx="951">
                  <c:v>1638.9749615397848</c:v>
                </c:pt>
                <c:pt idx="952">
                  <c:v>1638.9749615397848</c:v>
                </c:pt>
                <c:pt idx="953">
                  <c:v>1638.9749615397848</c:v>
                </c:pt>
                <c:pt idx="954">
                  <c:v>1638.9749615397848</c:v>
                </c:pt>
                <c:pt idx="955">
                  <c:v>1638.9749615397848</c:v>
                </c:pt>
                <c:pt idx="956">
                  <c:v>1638.9749615397848</c:v>
                </c:pt>
                <c:pt idx="957">
                  <c:v>1638.9749615397848</c:v>
                </c:pt>
                <c:pt idx="958">
                  <c:v>1638.9749615397848</c:v>
                </c:pt>
                <c:pt idx="959">
                  <c:v>1638.9749615397848</c:v>
                </c:pt>
                <c:pt idx="960">
                  <c:v>1638.9749615397848</c:v>
                </c:pt>
                <c:pt idx="961">
                  <c:v>1638.9749615397848</c:v>
                </c:pt>
                <c:pt idx="962">
                  <c:v>1638.9749615397848</c:v>
                </c:pt>
                <c:pt idx="963">
                  <c:v>1638.9749615397848</c:v>
                </c:pt>
                <c:pt idx="964">
                  <c:v>1638.9749615397848</c:v>
                </c:pt>
                <c:pt idx="965">
                  <c:v>1638.9749615397848</c:v>
                </c:pt>
                <c:pt idx="966">
                  <c:v>1638.9749615397848</c:v>
                </c:pt>
                <c:pt idx="967">
                  <c:v>1638.9749615397848</c:v>
                </c:pt>
                <c:pt idx="968">
                  <c:v>1638.9749615397848</c:v>
                </c:pt>
                <c:pt idx="969">
                  <c:v>1638.9749615397848</c:v>
                </c:pt>
                <c:pt idx="970">
                  <c:v>1638.9749615397848</c:v>
                </c:pt>
                <c:pt idx="971">
                  <c:v>1638.9749615397848</c:v>
                </c:pt>
                <c:pt idx="972">
                  <c:v>1638.9749615397848</c:v>
                </c:pt>
                <c:pt idx="973">
                  <c:v>1638.9749615397848</c:v>
                </c:pt>
                <c:pt idx="974">
                  <c:v>1638.9749615397848</c:v>
                </c:pt>
                <c:pt idx="975">
                  <c:v>1638.9749615397848</c:v>
                </c:pt>
                <c:pt idx="976">
                  <c:v>1638.9749615397848</c:v>
                </c:pt>
                <c:pt idx="977">
                  <c:v>1638.9749615397848</c:v>
                </c:pt>
                <c:pt idx="978">
                  <c:v>1638.9749615397848</c:v>
                </c:pt>
                <c:pt idx="979">
                  <c:v>1638.9749615397848</c:v>
                </c:pt>
                <c:pt idx="980">
                  <c:v>1638.9749615397848</c:v>
                </c:pt>
                <c:pt idx="981">
                  <c:v>1638.9749615397848</c:v>
                </c:pt>
                <c:pt idx="982">
                  <c:v>1638.9749615397848</c:v>
                </c:pt>
                <c:pt idx="983">
                  <c:v>1638.9749615397848</c:v>
                </c:pt>
                <c:pt idx="984">
                  <c:v>1638.9749615397848</c:v>
                </c:pt>
                <c:pt idx="985">
                  <c:v>1638.9749615397848</c:v>
                </c:pt>
                <c:pt idx="986">
                  <c:v>1638.9749615397848</c:v>
                </c:pt>
                <c:pt idx="987">
                  <c:v>1638.9749615397848</c:v>
                </c:pt>
                <c:pt idx="988">
                  <c:v>1638.9749615397848</c:v>
                </c:pt>
                <c:pt idx="989">
                  <c:v>1638.9749615397848</c:v>
                </c:pt>
                <c:pt idx="990">
                  <c:v>1638.9749615397848</c:v>
                </c:pt>
                <c:pt idx="991">
                  <c:v>1638.9749615397848</c:v>
                </c:pt>
                <c:pt idx="992">
                  <c:v>1638.9749615397848</c:v>
                </c:pt>
                <c:pt idx="993">
                  <c:v>1638.9749615397848</c:v>
                </c:pt>
                <c:pt idx="994">
                  <c:v>1638.9749615397848</c:v>
                </c:pt>
                <c:pt idx="995">
                  <c:v>1638.9749615397848</c:v>
                </c:pt>
                <c:pt idx="996">
                  <c:v>1638.9749615397848</c:v>
                </c:pt>
                <c:pt idx="997">
                  <c:v>1638.9749615397848</c:v>
                </c:pt>
                <c:pt idx="998">
                  <c:v>1638.9749615397848</c:v>
                </c:pt>
                <c:pt idx="999">
                  <c:v>1638.9749615397848</c:v>
                </c:pt>
                <c:pt idx="1000">
                  <c:v>1638.9749615397848</c:v>
                </c:pt>
              </c:numCache>
            </c:numRef>
          </c:yVal>
          <c:smooth val="0"/>
          <c:extLst>
            <c:ext xmlns:c16="http://schemas.microsoft.com/office/drawing/2014/chart" uri="{C3380CC4-5D6E-409C-BE32-E72D297353CC}">
              <c16:uniqueId val="{00000000-8016-4DF9-AB17-EDCEE1754333}"/>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43.900100000000293</c:v>
                </c:pt>
                <c:pt idx="891">
                  <c:v>43.900200000000297</c:v>
                </c:pt>
                <c:pt idx="892">
                  <c:v>43.9003000000003</c:v>
                </c:pt>
                <c:pt idx="893">
                  <c:v>43.900400000000303</c:v>
                </c:pt>
                <c:pt idx="894">
                  <c:v>43.900500000000306</c:v>
                </c:pt>
                <c:pt idx="895">
                  <c:v>43.90060000000031</c:v>
                </c:pt>
                <c:pt idx="896">
                  <c:v>43.900700000000313</c:v>
                </c:pt>
                <c:pt idx="897">
                  <c:v>43.900800000000316</c:v>
                </c:pt>
                <c:pt idx="898">
                  <c:v>43.90090000000032</c:v>
                </c:pt>
                <c:pt idx="899">
                  <c:v>43.901000000000323</c:v>
                </c:pt>
                <c:pt idx="900">
                  <c:v>43.901100000000326</c:v>
                </c:pt>
                <c:pt idx="901">
                  <c:v>43.90120000000033</c:v>
                </c:pt>
                <c:pt idx="902">
                  <c:v>43.901300000000333</c:v>
                </c:pt>
                <c:pt idx="903">
                  <c:v>43.901400000000336</c:v>
                </c:pt>
                <c:pt idx="904">
                  <c:v>43.90150000000034</c:v>
                </c:pt>
                <c:pt idx="905">
                  <c:v>43.901600000000343</c:v>
                </c:pt>
                <c:pt idx="906">
                  <c:v>43.901700000000346</c:v>
                </c:pt>
                <c:pt idx="907">
                  <c:v>43.90180000000035</c:v>
                </c:pt>
                <c:pt idx="908">
                  <c:v>43.901900000000353</c:v>
                </c:pt>
                <c:pt idx="909">
                  <c:v>43.902000000000356</c:v>
                </c:pt>
                <c:pt idx="910">
                  <c:v>43.90210000000036</c:v>
                </c:pt>
                <c:pt idx="911">
                  <c:v>43.902200000000363</c:v>
                </c:pt>
                <c:pt idx="912">
                  <c:v>43.902300000000366</c:v>
                </c:pt>
                <c:pt idx="913">
                  <c:v>43.90240000000037</c:v>
                </c:pt>
                <c:pt idx="914">
                  <c:v>43.902500000000373</c:v>
                </c:pt>
                <c:pt idx="915">
                  <c:v>43.902600000000376</c:v>
                </c:pt>
                <c:pt idx="916">
                  <c:v>43.90270000000038</c:v>
                </c:pt>
                <c:pt idx="917">
                  <c:v>43.902800000000383</c:v>
                </c:pt>
                <c:pt idx="918">
                  <c:v>43.902900000000386</c:v>
                </c:pt>
                <c:pt idx="919">
                  <c:v>43.903000000000389</c:v>
                </c:pt>
                <c:pt idx="920">
                  <c:v>43.903100000000393</c:v>
                </c:pt>
                <c:pt idx="921">
                  <c:v>43.903200000000396</c:v>
                </c:pt>
                <c:pt idx="922">
                  <c:v>43.903300000000399</c:v>
                </c:pt>
                <c:pt idx="923">
                  <c:v>43.903400000000403</c:v>
                </c:pt>
                <c:pt idx="924">
                  <c:v>43.903500000000406</c:v>
                </c:pt>
                <c:pt idx="925">
                  <c:v>43.903600000000409</c:v>
                </c:pt>
                <c:pt idx="926">
                  <c:v>43.903700000000413</c:v>
                </c:pt>
                <c:pt idx="927">
                  <c:v>43.903800000000416</c:v>
                </c:pt>
                <c:pt idx="928">
                  <c:v>43.903900000000419</c:v>
                </c:pt>
                <c:pt idx="929">
                  <c:v>43.904000000000423</c:v>
                </c:pt>
                <c:pt idx="930">
                  <c:v>43.904100000000426</c:v>
                </c:pt>
                <c:pt idx="931">
                  <c:v>43.904200000000429</c:v>
                </c:pt>
                <c:pt idx="932">
                  <c:v>43.904300000000433</c:v>
                </c:pt>
                <c:pt idx="933">
                  <c:v>43.904400000000436</c:v>
                </c:pt>
                <c:pt idx="934">
                  <c:v>43.904500000000439</c:v>
                </c:pt>
                <c:pt idx="935">
                  <c:v>43.904600000000443</c:v>
                </c:pt>
                <c:pt idx="936">
                  <c:v>43.904700000000446</c:v>
                </c:pt>
                <c:pt idx="937">
                  <c:v>43.904800000000449</c:v>
                </c:pt>
                <c:pt idx="938">
                  <c:v>43.904900000000453</c:v>
                </c:pt>
                <c:pt idx="939">
                  <c:v>43.905000000000456</c:v>
                </c:pt>
                <c:pt idx="940">
                  <c:v>43.905100000000459</c:v>
                </c:pt>
                <c:pt idx="941">
                  <c:v>43.905200000000463</c:v>
                </c:pt>
                <c:pt idx="942">
                  <c:v>43.905300000000466</c:v>
                </c:pt>
                <c:pt idx="943">
                  <c:v>43.905400000000469</c:v>
                </c:pt>
                <c:pt idx="944">
                  <c:v>43.905500000000472</c:v>
                </c:pt>
                <c:pt idx="945">
                  <c:v>43.905600000000476</c:v>
                </c:pt>
                <c:pt idx="946">
                  <c:v>43.905700000000479</c:v>
                </c:pt>
                <c:pt idx="947">
                  <c:v>43.905800000000482</c:v>
                </c:pt>
                <c:pt idx="948">
                  <c:v>43.905900000000486</c:v>
                </c:pt>
                <c:pt idx="949">
                  <c:v>43.906000000000489</c:v>
                </c:pt>
                <c:pt idx="950">
                  <c:v>43.906100000000492</c:v>
                </c:pt>
                <c:pt idx="951">
                  <c:v>43.906200000000496</c:v>
                </c:pt>
                <c:pt idx="952">
                  <c:v>43.906300000000499</c:v>
                </c:pt>
                <c:pt idx="953">
                  <c:v>43.906400000000502</c:v>
                </c:pt>
                <c:pt idx="954">
                  <c:v>43.906500000000506</c:v>
                </c:pt>
                <c:pt idx="955">
                  <c:v>43.906600000000509</c:v>
                </c:pt>
                <c:pt idx="956">
                  <c:v>43.906700000000512</c:v>
                </c:pt>
                <c:pt idx="957">
                  <c:v>43.906800000000516</c:v>
                </c:pt>
                <c:pt idx="958">
                  <c:v>43.906900000000519</c:v>
                </c:pt>
                <c:pt idx="959">
                  <c:v>43.907000000000522</c:v>
                </c:pt>
                <c:pt idx="960">
                  <c:v>43.907100000000526</c:v>
                </c:pt>
                <c:pt idx="961">
                  <c:v>43.907200000000529</c:v>
                </c:pt>
                <c:pt idx="962">
                  <c:v>43.907300000000532</c:v>
                </c:pt>
                <c:pt idx="963">
                  <c:v>43.907400000000536</c:v>
                </c:pt>
                <c:pt idx="964">
                  <c:v>43.907500000000539</c:v>
                </c:pt>
                <c:pt idx="965">
                  <c:v>43.907600000000542</c:v>
                </c:pt>
                <c:pt idx="966">
                  <c:v>43.907700000000546</c:v>
                </c:pt>
                <c:pt idx="967">
                  <c:v>43.907800000000549</c:v>
                </c:pt>
                <c:pt idx="968">
                  <c:v>43.907900000000552</c:v>
                </c:pt>
                <c:pt idx="969">
                  <c:v>43.908000000000555</c:v>
                </c:pt>
                <c:pt idx="970">
                  <c:v>43.908100000000559</c:v>
                </c:pt>
                <c:pt idx="971">
                  <c:v>43.908200000000562</c:v>
                </c:pt>
                <c:pt idx="972">
                  <c:v>43.908300000000565</c:v>
                </c:pt>
                <c:pt idx="973">
                  <c:v>43.908400000000569</c:v>
                </c:pt>
                <c:pt idx="974">
                  <c:v>43.908500000000572</c:v>
                </c:pt>
                <c:pt idx="975">
                  <c:v>43.908600000000575</c:v>
                </c:pt>
                <c:pt idx="976">
                  <c:v>43.908700000000579</c:v>
                </c:pt>
                <c:pt idx="977">
                  <c:v>43.908800000000582</c:v>
                </c:pt>
                <c:pt idx="978">
                  <c:v>43.908900000000585</c:v>
                </c:pt>
                <c:pt idx="979">
                  <c:v>43.909000000000589</c:v>
                </c:pt>
                <c:pt idx="980">
                  <c:v>43.909100000000592</c:v>
                </c:pt>
                <c:pt idx="981">
                  <c:v>43.909200000000595</c:v>
                </c:pt>
                <c:pt idx="982">
                  <c:v>43.909300000000599</c:v>
                </c:pt>
                <c:pt idx="983">
                  <c:v>43.909400000000602</c:v>
                </c:pt>
                <c:pt idx="984">
                  <c:v>43.909500000000605</c:v>
                </c:pt>
                <c:pt idx="985">
                  <c:v>43.909600000000609</c:v>
                </c:pt>
                <c:pt idx="986">
                  <c:v>43.909700000000612</c:v>
                </c:pt>
                <c:pt idx="987">
                  <c:v>43.909800000000615</c:v>
                </c:pt>
                <c:pt idx="988">
                  <c:v>43.909900000000619</c:v>
                </c:pt>
                <c:pt idx="989">
                  <c:v>43.910000000000622</c:v>
                </c:pt>
                <c:pt idx="990">
                  <c:v>43.910100000000625</c:v>
                </c:pt>
                <c:pt idx="991">
                  <c:v>43.910200000000629</c:v>
                </c:pt>
                <c:pt idx="992">
                  <c:v>43.910300000000632</c:v>
                </c:pt>
                <c:pt idx="993">
                  <c:v>43.910400000000635</c:v>
                </c:pt>
                <c:pt idx="994">
                  <c:v>43.910500000000638</c:v>
                </c:pt>
                <c:pt idx="995">
                  <c:v>43.910600000000642</c:v>
                </c:pt>
                <c:pt idx="996">
                  <c:v>43.910700000000645</c:v>
                </c:pt>
                <c:pt idx="997">
                  <c:v>43.910800000000648</c:v>
                </c:pt>
                <c:pt idx="998">
                  <c:v>43.910900000000652</c:v>
                </c:pt>
                <c:pt idx="999">
                  <c:v>43.911000000000655</c:v>
                </c:pt>
                <c:pt idx="1000">
                  <c:v>43.911100000000658</c:v>
                </c:pt>
              </c:numCache>
            </c:numRef>
          </c:xVal>
          <c:yVal>
            <c:numRef>
              <c:f>Calculs!$K$4:$K$1004</c:f>
              <c:numCache>
                <c:formatCode>0.00</c:formatCode>
                <c:ptCount val="1001"/>
                <c:pt idx="0">
                  <c:v>0</c:v>
                </c:pt>
                <c:pt idx="1">
                  <c:v>2.6452165658300903E-4</c:v>
                </c:pt>
                <c:pt idx="2">
                  <c:v>1.8747213115951592E-3</c:v>
                </c:pt>
                <c:pt idx="3">
                  <c:v>5.9861442544103249E-3</c:v>
                </c:pt>
                <c:pt idx="4">
                  <c:v>1.3276817814292706E-2</c:v>
                </c:pt>
                <c:pt idx="5">
                  <c:v>2.4425215615250705E-2</c:v>
                </c:pt>
                <c:pt idx="6">
                  <c:v>4.0110325488383718E-2</c:v>
                </c:pt>
                <c:pt idx="7">
                  <c:v>6.1011717008833427E-2</c:v>
                </c:pt>
                <c:pt idx="8">
                  <c:v>8.780960867822267E-2</c:v>
                </c:pt>
                <c:pt idx="9">
                  <c:v>0.12118493477305489</c:v>
                </c:pt>
                <c:pt idx="10">
                  <c:v>0.16181941187915372</c:v>
                </c:pt>
                <c:pt idx="11">
                  <c:v>0.21020066472836854</c:v>
                </c:pt>
                <c:pt idx="12">
                  <c:v>0.26642697690046763</c:v>
                </c:pt>
                <c:pt idx="13">
                  <c:v>0.33040022988535855</c:v>
                </c:pt>
                <c:pt idx="14">
                  <c:v>0.40201918266339187</c:v>
                </c:pt>
                <c:pt idx="15">
                  <c:v>0.48118095439903419</c:v>
                </c:pt>
                <c:pt idx="16">
                  <c:v>0.56778250976729483</c:v>
                </c:pt>
                <c:pt idx="17">
                  <c:v>0.66172066136732088</c:v>
                </c:pt>
                <c:pt idx="18">
                  <c:v>0.76289207213410049</c:v>
                </c:pt>
                <c:pt idx="19">
                  <c:v>0.87119325774803302</c:v>
                </c:pt>
                <c:pt idx="20">
                  <c:v>0.98652058904212536</c:v>
                </c:pt>
                <c:pt idx="21">
                  <c:v>1.1087702944065749</c:v>
                </c:pt>
                <c:pt idx="22">
                  <c:v>1.2378384621905032</c:v>
                </c:pt>
                <c:pt idx="23">
                  <c:v>1.3736210431006013</c:v>
                </c:pt>
                <c:pt idx="24">
                  <c:v>1.5160138525964557</c:v>
                </c:pt>
                <c:pt idx="25">
                  <c:v>1.6649125732823176</c:v>
                </c:pt>
                <c:pt idx="26">
                  <c:v>1.8202127572950877</c:v>
                </c:pt>
                <c:pt idx="27">
                  <c:v>1.9818359875719997</c:v>
                </c:pt>
                <c:pt idx="28">
                  <c:v>2.1497560753556342</c:v>
                </c:pt>
                <c:pt idx="29">
                  <c:v>2.3239729563518665</c:v>
                </c:pt>
                <c:pt idx="30">
                  <c:v>2.5044865494497888</c:v>
                </c:pt>
                <c:pt idx="31">
                  <c:v>2.6912967567064605</c:v>
                </c:pt>
                <c:pt idx="32">
                  <c:v>2.8844034633318785</c:v>
                </c:pt>
                <c:pt idx="33">
                  <c:v>3.0838065376741701</c:v>
                </c:pt>
                <c:pt idx="34">
                  <c:v>3.2895058312050081</c:v>
                </c:pt>
                <c:pt idx="35">
                  <c:v>3.5015011785052468</c:v>
                </c:pt>
                <c:pt idx="36">
                  <c:v>3.719792397250782</c:v>
                </c:pt>
                <c:pt idx="37">
                  <c:v>3.9443792881986361</c:v>
                </c:pt>
                <c:pt idx="38">
                  <c:v>4.1752468393287172</c:v>
                </c:pt>
                <c:pt idx="39">
                  <c:v>4.4123795689231065</c:v>
                </c:pt>
                <c:pt idx="40">
                  <c:v>4.6557763237240888</c:v>
                </c:pt>
                <c:pt idx="41">
                  <c:v>4.905435943895438</c:v>
                </c:pt>
                <c:pt idx="42">
                  <c:v>5.1613572684116509</c:v>
                </c:pt>
                <c:pt idx="43">
                  <c:v>5.4235391343909862</c:v>
                </c:pt>
                <c:pt idx="44">
                  <c:v>5.6919803764712604</c:v>
                </c:pt>
                <c:pt idx="45">
                  <c:v>5.9666798262247145</c:v>
                </c:pt>
                <c:pt idx="46">
                  <c:v>6.24763631160865</c:v>
                </c:pt>
                <c:pt idx="47">
                  <c:v>6.5348486564488955</c:v>
                </c:pt>
                <c:pt idx="48">
                  <c:v>6.8283156799534481</c:v>
                </c:pt>
                <c:pt idx="49">
                  <c:v>7.1280361962539267</c:v>
                </c:pt>
                <c:pt idx="50">
                  <c:v>7.4340090139726867</c:v>
                </c:pt>
                <c:pt idx="51">
                  <c:v>7.7462329358136586</c:v>
                </c:pt>
                <c:pt idx="52">
                  <c:v>8.0647067581751717</c:v>
                </c:pt>
                <c:pt idx="53">
                  <c:v>8.3894292707831539</c:v>
                </c:pt>
                <c:pt idx="54">
                  <c:v>8.7203992563432813</c:v>
                </c:pt>
                <c:pt idx="55">
                  <c:v>9.0576154902107557</c:v>
                </c:pt>
                <c:pt idx="56">
                  <c:v>9.4010767400764976</c:v>
                </c:pt>
                <c:pt idx="57">
                  <c:v>9.7507817656686875</c:v>
                </c:pt>
                <c:pt idx="58">
                  <c:v>10.106729318468615</c:v>
                </c:pt>
                <c:pt idx="59">
                  <c:v>10.468918141439941</c:v>
                </c:pt>
                <c:pt idx="60">
                  <c:v>10.837346968770524</c:v>
                </c:pt>
                <c:pt idx="61">
                  <c:v>11.212014525626016</c:v>
                </c:pt>
                <c:pt idx="62">
                  <c:v>11.592919527914532</c:v>
                </c:pt>
                <c:pt idx="63">
                  <c:v>11.980060682061726</c:v>
                </c:pt>
                <c:pt idx="64">
                  <c:v>12.373436684795646</c:v>
                </c:pt>
                <c:pt idx="65">
                  <c:v>12.773046222940831</c:v>
                </c:pt>
                <c:pt idx="66">
                  <c:v>13.17888797322111</c:v>
                </c:pt>
                <c:pt idx="67">
                  <c:v>13.590960602070622</c:v>
                </c:pt>
                <c:pt idx="68">
                  <c:v>14.009262765452601</c:v>
                </c:pt>
                <c:pt idx="69">
                  <c:v>14.433793108685522</c:v>
                </c:pt>
                <c:pt idx="70">
                  <c:v>14.864550266276204</c:v>
                </c:pt>
                <c:pt idx="71">
                  <c:v>15.30153286175951</c:v>
                </c:pt>
                <c:pt idx="72">
                  <c:v>15.74473921039629</c:v>
                </c:pt>
                <c:pt idx="73">
                  <c:v>16.1941670215645</c:v>
                </c:pt>
                <c:pt idx="74">
                  <c:v>16.64981369531241</c:v>
                </c:pt>
                <c:pt idx="75">
                  <c:v>17.111676619232473</c:v>
                </c:pt>
                <c:pt idx="76">
                  <c:v>17.579753168334534</c:v>
                </c:pt>
                <c:pt idx="77">
                  <c:v>18.054040704924116</c:v>
                </c:pt>
                <c:pt idx="78">
                  <c:v>18.534536578485511</c:v>
                </c:pt>
                <c:pt idx="79">
                  <c:v>19.021238125569482</c:v>
                </c:pt>
                <c:pt idx="80">
                  <c:v>19.514142669685356</c:v>
                </c:pt>
                <c:pt idx="81">
                  <c:v>20.013247521197304</c:v>
                </c:pt>
                <c:pt idx="82">
                  <c:v>20.518549977224648</c:v>
                </c:pt>
                <c:pt idx="83">
                  <c:v>21.030047321545993</c:v>
                </c:pt>
                <c:pt idx="84">
                  <c:v>21.547736824507041</c:v>
                </c:pt>
                <c:pt idx="85">
                  <c:v>22.071615742931925</c:v>
                </c:pt>
                <c:pt idx="86">
                  <c:v>22.601681320037926</c:v>
                </c:pt>
                <c:pt idx="87">
                  <c:v>23.137930785353412</c:v>
                </c:pt>
                <c:pt idx="88">
                  <c:v>23.680361354638897</c:v>
                </c:pt>
                <c:pt idx="89">
                  <c:v>24.228970229811086</c:v>
                </c:pt>
                <c:pt idx="90">
                  <c:v>24.783754598869791</c:v>
                </c:pt>
                <c:pt idx="91">
                  <c:v>25.344711635827593</c:v>
                </c:pt>
                <c:pt idx="92">
                  <c:v>25.911838500642183</c:v>
                </c:pt>
                <c:pt idx="93">
                  <c:v>26.485132339151235</c:v>
                </c:pt>
                <c:pt idx="94">
                  <c:v>27.064590283009771</c:v>
                </c:pt>
                <c:pt idx="95">
                  <c:v>27.650209449629873</c:v>
                </c:pt>
                <c:pt idx="96">
                  <c:v>28.241986942122701</c:v>
                </c:pt>
                <c:pt idx="97">
                  <c:v>28.839919849242715</c:v>
                </c:pt>
                <c:pt idx="98">
                  <c:v>29.444005245334044</c:v>
                </c:pt>
                <c:pt idx="99">
                  <c:v>30.054240190278886</c:v>
                </c:pt>
                <c:pt idx="100">
                  <c:v>30.670621729447941</c:v>
                </c:pt>
                <c:pt idx="101">
                  <c:v>31.293146893652736</c:v>
                </c:pt>
                <c:pt idx="102">
                  <c:v>31.921812699099831</c:v>
                </c:pt>
                <c:pt idx="103">
                  <c:v>32.556616147346823</c:v>
                </c:pt>
                <c:pt idx="104">
                  <c:v>33.197554225260106</c:v>
                </c:pt>
                <c:pt idx="105">
                  <c:v>33.844623904974306</c:v>
                </c:pt>
                <c:pt idx="106">
                  <c:v>34.497822143853369</c:v>
                </c:pt>
                <c:pt idx="107">
                  <c:v>35.157145884453257</c:v>
                </c:pt>
                <c:pt idx="108">
                  <c:v>35.822592054486151</c:v>
                </c:pt>
                <c:pt idx="109">
                  <c:v>36.494157566786164</c:v>
                </c:pt>
                <c:pt idx="110">
                  <c:v>37.171839319276536</c:v>
                </c:pt>
                <c:pt idx="111">
                  <c:v>37.855634194938219</c:v>
                </c:pt>
                <c:pt idx="112">
                  <c:v>38.54553906177982</c:v>
                </c:pt>
                <c:pt idx="113">
                  <c:v>39.241550772808921</c:v>
                </c:pt>
                <c:pt idx="114">
                  <c:v>39.943666166004668</c:v>
                </c:pt>
                <c:pt idx="115">
                  <c:v>40.651882064291641</c:v>
                </c:pt>
                <c:pt idx="116">
                  <c:v>41.366195275514919</c:v>
                </c:pt>
                <c:pt idx="117">
                  <c:v>42.086602592416405</c:v>
                </c:pt>
                <c:pt idx="118">
                  <c:v>42.813100792612275</c:v>
                </c:pt>
                <c:pt idx="119">
                  <c:v>43.54568663857156</c:v>
                </c:pt>
                <c:pt idx="120">
                  <c:v>44.284356877595876</c:v>
                </c:pt>
                <c:pt idx="121">
                  <c:v>45.029108241800195</c:v>
                </c:pt>
                <c:pt idx="122">
                  <c:v>45.779937448094699</c:v>
                </c:pt>
                <c:pt idx="123">
                  <c:v>46.536841198167657</c:v>
                </c:pt>
                <c:pt idx="124">
                  <c:v>47.299816178469307</c:v>
                </c:pt>
                <c:pt idx="125">
                  <c:v>48.068859060196708</c:v>
                </c:pt>
                <c:pt idx="126">
                  <c:v>48.843966499279595</c:v>
                </c:pt>
                <c:pt idx="127">
                  <c:v>49.62513513636712</c:v>
                </c:pt>
                <c:pt idx="128">
                  <c:v>50.412361596815529</c:v>
                </c:pt>
                <c:pt idx="129">
                  <c:v>51.205641130075634</c:v>
                </c:pt>
                <c:pt idx="130">
                  <c:v>52.004966247768643</c:v>
                </c:pt>
                <c:pt idx="131">
                  <c:v>52.810328082516584</c:v>
                </c:pt>
                <c:pt idx="132">
                  <c:v>53.621717748106796</c:v>
                </c:pt>
                <c:pt idx="133">
                  <c:v>54.439126339525743</c:v>
                </c:pt>
                <c:pt idx="134">
                  <c:v>55.262544932993777</c:v>
                </c:pt>
                <c:pt idx="135">
                  <c:v>56.091964586000927</c:v>
                </c:pt>
                <c:pt idx="136">
                  <c:v>56.927376337343617</c:v>
                </c:pt>
                <c:pt idx="137">
                  <c:v>57.768771207162288</c:v>
                </c:pt>
                <c:pt idx="138">
                  <c:v>58.616140196979977</c:v>
                </c:pt>
                <c:pt idx="139">
                  <c:v>59.46947428974174</c:v>
                </c:pt>
                <c:pt idx="140">
                  <c:v>60.328764449854958</c:v>
                </c:pt>
                <c:pt idx="141">
                  <c:v>61.194001623230506</c:v>
                </c:pt>
                <c:pt idx="142">
                  <c:v>62.06517673732472</c:v>
                </c:pt>
                <c:pt idx="143">
                  <c:v>62.942280701182206</c:v>
                </c:pt>
                <c:pt idx="144">
                  <c:v>63.825304405479422</c:v>
                </c:pt>
                <c:pt idx="145">
                  <c:v>64.71423872256905</c:v>
                </c:pt>
                <c:pt idx="146">
                  <c:v>65.609074506525104</c:v>
                </c:pt>
                <c:pt idx="147">
                  <c:v>66.509802593188823</c:v>
                </c:pt>
                <c:pt idx="148">
                  <c:v>67.416413800215238</c:v>
                </c:pt>
                <c:pt idx="149">
                  <c:v>68.328898927120534</c:v>
                </c:pt>
                <c:pt idx="150">
                  <c:v>69.247248755330006</c:v>
                </c:pt>
                <c:pt idx="151">
                  <c:v>70.171454048226764</c:v>
                </c:pt>
                <c:pt idx="152">
                  <c:v>71.101505551201114</c:v>
                </c:pt>
                <c:pt idx="153">
                  <c:v>72.037393991700569</c:v>
                </c:pt>
                <c:pt idx="154">
                  <c:v>72.979110079280517</c:v>
                </c:pt>
                <c:pt idx="155">
                  <c:v>73.926644505655489</c:v>
                </c:pt>
                <c:pt idx="156">
                  <c:v>74.879987944751093</c:v>
                </c:pt>
                <c:pt idx="157">
                  <c:v>75.839131052756542</c:v>
                </c:pt>
                <c:pt idx="158">
                  <c:v>76.804064468177742</c:v>
                </c:pt>
                <c:pt idx="159">
                  <c:v>77.774778811890997</c:v>
                </c:pt>
                <c:pt idx="160">
                  <c:v>78.751264687197249</c:v>
                </c:pt>
                <c:pt idx="161">
                  <c:v>79.733512679876952</c:v>
                </c:pt>
                <c:pt idx="162">
                  <c:v>80.721513358245417</c:v>
                </c:pt>
                <c:pt idx="163">
                  <c:v>81.715257273208707</c:v>
                </c:pt>
                <c:pt idx="164">
                  <c:v>82.714734958320108</c:v>
                </c:pt>
                <c:pt idx="165">
                  <c:v>83.719936929837061</c:v>
                </c:pt>
                <c:pt idx="166">
                  <c:v>84.730853686778673</c:v>
                </c:pt>
                <c:pt idx="167">
                  <c:v>85.74747571098365</c:v>
                </c:pt>
                <c:pt idx="168">
                  <c:v>86.769793467168739</c:v>
                </c:pt>
                <c:pt idx="169">
                  <c:v>87.797797402987726</c:v>
                </c:pt>
                <c:pt idx="170">
                  <c:v>88.831477949090768</c:v>
                </c:pt>
                <c:pt idx="171">
                  <c:v>89.870825519184336</c:v>
                </c:pt>
                <c:pt idx="172">
                  <c:v>90.915830510091496</c:v>
                </c:pt>
                <c:pt idx="173">
                  <c:v>91.966483301812701</c:v>
                </c:pt>
                <c:pt idx="174">
                  <c:v>93.022774257586988</c:v>
                </c:pt>
                <c:pt idx="175">
                  <c:v>94.084693723953635</c:v>
                </c:pt>
                <c:pt idx="176">
                  <c:v>95.152232030814204</c:v>
                </c:pt>
                <c:pt idx="177">
                  <c:v>96.225379491495033</c:v>
                </c:pt>
                <c:pt idx="178">
                  <c:v>97.304126402810084</c:v>
                </c:pt>
                <c:pt idx="179">
                  <c:v>98.388463045124269</c:v>
                </c:pt>
                <c:pt idx="180">
                  <c:v>99.478379682417099</c:v>
                </c:pt>
                <c:pt idx="181">
                  <c:v>100.57386656234674</c:v>
                </c:pt>
                <c:pt idx="182">
                  <c:v>101.67491391631442</c:v>
                </c:pt>
                <c:pt idx="183">
                  <c:v>102.78151195952928</c:v>
                </c:pt>
                <c:pt idx="184">
                  <c:v>103.89365089107352</c:v>
                </c:pt>
                <c:pt idx="185">
                  <c:v>105.01132089396792</c:v>
                </c:pt>
                <c:pt idx="186">
                  <c:v>106.13451213523769</c:v>
                </c:pt>
                <c:pt idx="187">
                  <c:v>107.26321476597873</c:v>
                </c:pt>
                <c:pt idx="188">
                  <c:v>108.39741892142416</c:v>
                </c:pt>
                <c:pt idx="189">
                  <c:v>109.53711472101122</c:v>
                </c:pt>
                <c:pt idx="190">
                  <c:v>110.68229226844845</c:v>
                </c:pt>
                <c:pt idx="191">
                  <c:v>111.83294165178324</c:v>
                </c:pt>
                <c:pt idx="192">
                  <c:v>112.9890529434697</c:v>
                </c:pt>
                <c:pt idx="193">
                  <c:v>114.15061620043674</c:v>
                </c:pt>
                <c:pt idx="194">
                  <c:v>115.31762146415659</c:v>
                </c:pt>
                <c:pt idx="195">
                  <c:v>116.49005876071348</c:v>
                </c:pt>
                <c:pt idx="196">
                  <c:v>117.66791810087275</c:v>
                </c:pt>
                <c:pt idx="197">
                  <c:v>118.85118948015013</c:v>
                </c:pt>
                <c:pt idx="198">
                  <c:v>120.03986287888128</c:v>
                </c:pt>
                <c:pt idx="199">
                  <c:v>121.2339282622918</c:v>
                </c:pt>
                <c:pt idx="200">
                  <c:v>122.43337558056723</c:v>
                </c:pt>
                <c:pt idx="201">
                  <c:v>123.63819476892355</c:v>
                </c:pt>
                <c:pt idx="202">
                  <c:v>124.84837574767781</c:v>
                </c:pt>
                <c:pt idx="203">
                  <c:v>126.06390842231899</c:v>
                </c:pt>
                <c:pt idx="204">
                  <c:v>127.28478268357927</c:v>
                </c:pt>
                <c:pt idx="205">
                  <c:v>128.51098840750535</c:v>
                </c:pt>
                <c:pt idx="206">
                  <c:v>129.74251512626549</c:v>
                </c:pt>
                <c:pt idx="207">
                  <c:v>130.97935169872864</c:v>
                </c:pt>
                <c:pt idx="208">
                  <c:v>132.22148663954596</c:v>
                </c:pt>
                <c:pt idx="209">
                  <c:v>133.46890844846675</c:v>
                </c:pt>
                <c:pt idx="210">
                  <c:v>134.7216056104229</c:v>
                </c:pt>
                <c:pt idx="211">
                  <c:v>135.97956659561365</c:v>
                </c:pt>
                <c:pt idx="212">
                  <c:v>137.24277985959051</c:v>
                </c:pt>
                <c:pt idx="213">
                  <c:v>138.51123384334235</c:v>
                </c:pt>
                <c:pt idx="214">
                  <c:v>139.78491697338069</c:v>
                </c:pt>
                <c:pt idx="215">
                  <c:v>141.0638176618252</c:v>
                </c:pt>
                <c:pt idx="216">
                  <c:v>142.34792430648938</c:v>
                </c:pt>
                <c:pt idx="217">
                  <c:v>143.63722529096634</c:v>
                </c:pt>
                <c:pt idx="218">
                  <c:v>144.93170898471493</c:v>
                </c:pt>
                <c:pt idx="219">
                  <c:v>146.23136374314575</c:v>
                </c:pt>
                <c:pt idx="220">
                  <c:v>147.53617790770755</c:v>
                </c:pt>
                <c:pt idx="221">
                  <c:v>148.84613980597379</c:v>
                </c:pt>
                <c:pt idx="222">
                  <c:v>150.16123775172917</c:v>
                </c:pt>
                <c:pt idx="223">
                  <c:v>151.48146004505645</c:v>
                </c:pt>
                <c:pt idx="224">
                  <c:v>152.80679497242335</c:v>
                </c:pt>
                <c:pt idx="225">
                  <c:v>154.13723080676965</c:v>
                </c:pt>
                <c:pt idx="226">
                  <c:v>155.47275580759438</c:v>
                </c:pt>
                <c:pt idx="227">
                  <c:v>156.81335822104313</c:v>
                </c:pt>
                <c:pt idx="228">
                  <c:v>158.15902627999543</c:v>
                </c:pt>
                <c:pt idx="229">
                  <c:v>159.5097482041524</c:v>
                </c:pt>
                <c:pt idx="230">
                  <c:v>160.86551220012439</c:v>
                </c:pt>
                <c:pt idx="231">
                  <c:v>162.22630646151876</c:v>
                </c:pt>
                <c:pt idx="232">
                  <c:v>163.5921191690278</c:v>
                </c:pt>
                <c:pt idx="233">
                  <c:v>164.96293849051671</c:v>
                </c:pt>
                <c:pt idx="234">
                  <c:v>166.33875258111166</c:v>
                </c:pt>
                <c:pt idx="235">
                  <c:v>167.71954958328806</c:v>
                </c:pt>
                <c:pt idx="236">
                  <c:v>169.10531762695871</c:v>
                </c:pt>
                <c:pt idx="237">
                  <c:v>170.49604482956232</c:v>
                </c:pt>
                <c:pt idx="238">
                  <c:v>171.89171929615185</c:v>
                </c:pt>
                <c:pt idx="239">
                  <c:v>173.29232911948304</c:v>
                </c:pt>
                <c:pt idx="240">
                  <c:v>174.69786238010306</c:v>
                </c:pt>
                <c:pt idx="241">
                  <c:v>176.1083071464391</c:v>
                </c:pt>
                <c:pt idx="242">
                  <c:v>177.52365033978674</c:v>
                </c:pt>
                <c:pt idx="243">
                  <c:v>178.94387659867462</c:v>
                </c:pt>
                <c:pt idx="244">
                  <c:v>180.36896941347234</c:v>
                </c:pt>
                <c:pt idx="245">
                  <c:v>181.79891226164392</c:v>
                </c:pt>
                <c:pt idx="246">
                  <c:v>183.23368860788108</c:v>
                </c:pt>
                <c:pt idx="247">
                  <c:v>184.6732819042364</c:v>
                </c:pt>
                <c:pt idx="248">
                  <c:v>186.11767559025643</c:v>
                </c:pt>
                <c:pt idx="249">
                  <c:v>187.56685309311473</c:v>
                </c:pt>
                <c:pt idx="250">
                  <c:v>189.0207978277449</c:v>
                </c:pt>
                <c:pt idx="251">
                  <c:v>190.47949319697344</c:v>
                </c:pt>
                <c:pt idx="252">
                  <c:v>191.94292259165258</c:v>
                </c:pt>
                <c:pt idx="253">
                  <c:v>193.41106939079299</c:v>
                </c:pt>
                <c:pt idx="254">
                  <c:v>194.88391696169643</c:v>
                </c:pt>
                <c:pt idx="255">
                  <c:v>196.36144866008826</c:v>
                </c:pt>
                <c:pt idx="256">
                  <c:v>197.84364783024986</c:v>
                </c:pt>
                <c:pt idx="257">
                  <c:v>199.330497805151</c:v>
                </c:pt>
                <c:pt idx="258">
                  <c:v>200.82198190658195</c:v>
                </c:pt>
                <c:pt idx="259">
                  <c:v>202.31808344528565</c:v>
                </c:pt>
                <c:pt idx="260">
                  <c:v>203.8187857210896</c:v>
                </c:pt>
                <c:pt idx="261">
                  <c:v>205.3240720230377</c:v>
                </c:pt>
                <c:pt idx="262">
                  <c:v>206.83392562952199</c:v>
                </c:pt>
                <c:pt idx="263">
                  <c:v>208.34832980841406</c:v>
                </c:pt>
                <c:pt idx="264">
                  <c:v>209.86726781719665</c:v>
                </c:pt>
                <c:pt idx="265">
                  <c:v>211.39072290309468</c:v>
                </c:pt>
                <c:pt idx="266">
                  <c:v>212.91867830320658</c:v>
                </c:pt>
                <c:pt idx="267">
                  <c:v>214.45111724463501</c:v>
                </c:pt>
                <c:pt idx="268">
                  <c:v>215.9880229446178</c:v>
                </c:pt>
                <c:pt idx="269">
                  <c:v>217.52937861065845</c:v>
                </c:pt>
                <c:pt idx="270">
                  <c:v>219.07516744065666</c:v>
                </c:pt>
                <c:pt idx="271">
                  <c:v>220.62537262303846</c:v>
                </c:pt>
                <c:pt idx="272">
                  <c:v>222.1799773368864</c:v>
                </c:pt>
                <c:pt idx="273">
                  <c:v>223.73896475206939</c:v>
                </c:pt>
                <c:pt idx="274">
                  <c:v>225.30231802937243</c:v>
                </c:pt>
                <c:pt idx="275">
                  <c:v>226.87002032062603</c:v>
                </c:pt>
                <c:pt idx="276">
                  <c:v>228.44205476883556</c:v>
                </c:pt>
                <c:pt idx="277">
                  <c:v>230.0184045083104</c:v>
                </c:pt>
                <c:pt idx="278">
                  <c:v>231.59905266479277</c:v>
                </c:pt>
                <c:pt idx="279">
                  <c:v>233.18398235558641</c:v>
                </c:pt>
                <c:pt idx="280">
                  <c:v>234.77317668968504</c:v>
                </c:pt>
                <c:pt idx="281">
                  <c:v>236.36661876790069</c:v>
                </c:pt>
                <c:pt idx="282">
                  <c:v>237.96429168299159</c:v>
                </c:pt>
                <c:pt idx="283">
                  <c:v>239.56617851979001</c:v>
                </c:pt>
                <c:pt idx="284">
                  <c:v>241.17226368396624</c:v>
                </c:pt>
                <c:pt idx="285">
                  <c:v>242.78253423125224</c:v>
                </c:pt>
                <c:pt idx="286">
                  <c:v>244.39697853914555</c:v>
                </c:pt>
                <c:pt idx="287">
                  <c:v>246.01558497812849</c:v>
                </c:pt>
                <c:pt idx="288">
                  <c:v>247.63834191174709</c:v>
                </c:pt>
                <c:pt idx="289">
                  <c:v>249.26523769668998</c:v>
                </c:pt>
                <c:pt idx="290">
                  <c:v>250.89626068286705</c:v>
                </c:pt>
                <c:pt idx="291">
                  <c:v>252.53139921348813</c:v>
                </c:pt>
                <c:pt idx="292">
                  <c:v>254.17064162514157</c:v>
                </c:pt>
                <c:pt idx="293">
                  <c:v>255.81397624787272</c:v>
                </c:pt>
                <c:pt idx="294">
                  <c:v>257.46139140526225</c:v>
                </c:pt>
                <c:pt idx="295">
                  <c:v>259.11287541450451</c:v>
                </c:pt>
                <c:pt idx="296">
                  <c:v>260.76841658648567</c:v>
                </c:pt>
                <c:pt idx="297">
                  <c:v>262.4280032258618</c:v>
                </c:pt>
                <c:pt idx="298">
                  <c:v>264.09162363113694</c:v>
                </c:pt>
                <c:pt idx="299">
                  <c:v>265.75926609474089</c:v>
                </c:pt>
                <c:pt idx="300">
                  <c:v>267.430918903107</c:v>
                </c:pt>
                <c:pt idx="301">
                  <c:v>269.10657033674994</c:v>
                </c:pt>
                <c:pt idx="302">
                  <c:v>270.78620867034311</c:v>
                </c:pt>
                <c:pt idx="303">
                  <c:v>272.46982217279623</c:v>
                </c:pt>
                <c:pt idx="304">
                  <c:v>274.15739910733254</c:v>
                </c:pt>
                <c:pt idx="305">
                  <c:v>275.84892773156616</c:v>
                </c:pt>
                <c:pt idx="306">
                  <c:v>277.54439629757923</c:v>
                </c:pt>
                <c:pt idx="307">
                  <c:v>279.24379305199864</c:v>
                </c:pt>
                <c:pt idx="308">
                  <c:v>280.94710623607318</c:v>
                </c:pt>
                <c:pt idx="309">
                  <c:v>282.65432408575009</c:v>
                </c:pt>
                <c:pt idx="310">
                  <c:v>284.36543483175183</c:v>
                </c:pt>
                <c:pt idx="311">
                  <c:v>286.08042669965243</c:v>
                </c:pt>
                <c:pt idx="312">
                  <c:v>287.79928790995405</c:v>
                </c:pt>
                <c:pt idx="313">
                  <c:v>289.522006678163</c:v>
                </c:pt>
                <c:pt idx="314">
                  <c:v>291.24857121486593</c:v>
                </c:pt>
                <c:pt idx="315">
                  <c:v>292.97896972580583</c:v>
                </c:pt>
                <c:pt idx="316">
                  <c:v>294.7131904119579</c:v>
                </c:pt>
                <c:pt idx="317">
                  <c:v>296.45122146960512</c:v>
                </c:pt>
                <c:pt idx="318">
                  <c:v>298.19305109041386</c:v>
                </c:pt>
                <c:pt idx="319">
                  <c:v>299.93866746150945</c:v>
                </c:pt>
                <c:pt idx="320">
                  <c:v>301.6880587655512</c:v>
                </c:pt>
                <c:pt idx="321">
                  <c:v>303.44121318080778</c:v>
                </c:pt>
                <c:pt idx="322">
                  <c:v>305.19811888123195</c:v>
                </c:pt>
                <c:pt idx="323">
                  <c:v>306.95876403653568</c:v>
                </c:pt>
                <c:pt idx="324">
                  <c:v>308.72313681226461</c:v>
                </c:pt>
                <c:pt idx="325">
                  <c:v>310.49122536987278</c:v>
                </c:pt>
                <c:pt idx="326">
                  <c:v>312.26301794817738</c:v>
                </c:pt>
                <c:pt idx="327">
                  <c:v>314.03850294482965</c:v>
                </c:pt>
                <c:pt idx="328">
                  <c:v>315.81766883499949</c:v>
                </c:pt>
                <c:pt idx="329">
                  <c:v>317.60050409004316</c:v>
                </c:pt>
                <c:pt idx="330">
                  <c:v>319.38699717757447</c:v>
                </c:pt>
                <c:pt idx="331">
                  <c:v>321.17713656153592</c:v>
                </c:pt>
                <c:pt idx="332">
                  <c:v>322.97091070226986</c:v>
                </c:pt>
                <c:pt idx="333">
                  <c:v>324.76830805658915</c:v>
                </c:pt>
                <c:pt idx="334">
                  <c:v>326.56931707784804</c:v>
                </c:pt>
                <c:pt idx="335">
                  <c:v>328.37392621601259</c:v>
                </c:pt>
                <c:pt idx="336">
                  <c:v>330.18212391773108</c:v>
                </c:pt>
                <c:pt idx="337">
                  <c:v>331.99389862640425</c:v>
                </c:pt>
                <c:pt idx="338">
                  <c:v>333.80923878225536</c:v>
                </c:pt>
                <c:pt idx="339">
                  <c:v>335.62813282240023</c:v>
                </c:pt>
                <c:pt idx="340">
                  <c:v>337.45056918091677</c:v>
                </c:pt>
                <c:pt idx="341">
                  <c:v>339.27653628891471</c:v>
                </c:pt>
                <c:pt idx="342">
                  <c:v>341.10602257460494</c:v>
                </c:pt>
                <c:pt idx="343">
                  <c:v>342.93901646336877</c:v>
                </c:pt>
                <c:pt idx="344">
                  <c:v>344.77550637782707</c:v>
                </c:pt>
                <c:pt idx="345">
                  <c:v>346.61548073790919</c:v>
                </c:pt>
                <c:pt idx="346">
                  <c:v>348.45892796092164</c:v>
                </c:pt>
                <c:pt idx="347">
                  <c:v>350.30583646161665</c:v>
                </c:pt>
                <c:pt idx="348">
                  <c:v>352.15619465226058</c:v>
                </c:pt>
                <c:pt idx="349">
                  <c:v>354.0099909427023</c:v>
                </c:pt>
                <c:pt idx="350">
                  <c:v>355.867213740441</c:v>
                </c:pt>
                <c:pt idx="351">
                  <c:v>357.72785145069423</c:v>
                </c:pt>
                <c:pt idx="352">
                  <c:v>359.59189247646555</c:v>
                </c:pt>
                <c:pt idx="353">
                  <c:v>361.45932521861204</c:v>
                </c:pt>
                <c:pt idx="354">
                  <c:v>363.33013807591158</c:v>
                </c:pt>
                <c:pt idx="355">
                  <c:v>365.20431944513012</c:v>
                </c:pt>
                <c:pt idx="356">
                  <c:v>367.08185772108862</c:v>
                </c:pt>
                <c:pt idx="357">
                  <c:v>368.96274129672975</c:v>
                </c:pt>
                <c:pt idx="358">
                  <c:v>370.84695856318461</c:v>
                </c:pt>
                <c:pt idx="359">
                  <c:v>372.73449790983915</c:v>
                </c:pt>
                <c:pt idx="360">
                  <c:v>374.62534772440029</c:v>
                </c:pt>
                <c:pt idx="361">
                  <c:v>376.51949639296203</c:v>
                </c:pt>
                <c:pt idx="362">
                  <c:v>378.41693230007138</c:v>
                </c:pt>
                <c:pt idx="363">
                  <c:v>380.31764382879396</c:v>
                </c:pt>
                <c:pt idx="364">
                  <c:v>382.22161936077941</c:v>
                </c:pt>
                <c:pt idx="365">
                  <c:v>384.12884727632678</c:v>
                </c:pt>
                <c:pt idx="366">
                  <c:v>386.03931801186673</c:v>
                </c:pt>
                <c:pt idx="367">
                  <c:v>387.95302611756597</c:v>
                </c:pt>
                <c:pt idx="368">
                  <c:v>389.86996819926765</c:v>
                </c:pt>
                <c:pt idx="369">
                  <c:v>391.79014086028548</c:v>
                </c:pt>
                <c:pt idx="370">
                  <c:v>393.71354070142161</c:v>
                </c:pt>
                <c:pt idx="371">
                  <c:v>395.64016432098452</c:v>
                </c:pt>
                <c:pt idx="372">
                  <c:v>397.57000831480684</c:v>
                </c:pt>
                <c:pt idx="373">
                  <c:v>399.5030692762632</c:v>
                </c:pt>
                <c:pt idx="374">
                  <c:v>401.43934379628814</c:v>
                </c:pt>
                <c:pt idx="375">
                  <c:v>403.3788284633938</c:v>
                </c:pt>
                <c:pt idx="376">
                  <c:v>405.32151986368785</c:v>
                </c:pt>
                <c:pt idx="377">
                  <c:v>407.26741458089123</c:v>
                </c:pt>
                <c:pt idx="378">
                  <c:v>409.21650919635601</c:v>
                </c:pt>
                <c:pt idx="379">
                  <c:v>411.16880028908321</c:v>
                </c:pt>
                <c:pt idx="380">
                  <c:v>413.12428443574049</c:v>
                </c:pt>
                <c:pt idx="381">
                  <c:v>415.0829559923427</c:v>
                </c:pt>
                <c:pt idx="382">
                  <c:v>417.04480487585607</c:v>
                </c:pt>
                <c:pt idx="383">
                  <c:v>419.00981878342748</c:v>
                </c:pt>
                <c:pt idx="384">
                  <c:v>420.97798541171511</c:v>
                </c:pt>
                <c:pt idx="385">
                  <c:v>422.94929245695658</c:v>
                </c:pt>
                <c:pt idx="386">
                  <c:v>424.92372761503646</c:v>
                </c:pt>
                <c:pt idx="387">
                  <c:v>426.90127858155398</c:v>
                </c:pt>
                <c:pt idx="388">
                  <c:v>428.88193305189014</c:v>
                </c:pt>
                <c:pt idx="389">
                  <c:v>430.86567872127489</c:v>
                </c:pt>
                <c:pt idx="390">
                  <c:v>432.85250328485381</c:v>
                </c:pt>
                <c:pt idx="391">
                  <c:v>434.84239443775476</c:v>
                </c:pt>
                <c:pt idx="392">
                  <c:v>436.8353398751542</c:v>
                </c:pt>
                <c:pt idx="393">
                  <c:v>438.8313272923433</c:v>
                </c:pt>
                <c:pt idx="394">
                  <c:v>440.83034438479376</c:v>
                </c:pt>
                <c:pt idx="395">
                  <c:v>442.83237884822353</c:v>
                </c:pt>
                <c:pt idx="396">
                  <c:v>444.83741837866211</c:v>
                </c:pt>
                <c:pt idx="397">
                  <c:v>446.84545067251565</c:v>
                </c:pt>
                <c:pt idx="398">
                  <c:v>448.85646342663205</c:v>
                </c:pt>
                <c:pt idx="399">
                  <c:v>450.87044433836542</c:v>
                </c:pt>
                <c:pt idx="400">
                  <c:v>452.8873811056406</c:v>
                </c:pt>
                <c:pt idx="401">
                  <c:v>454.90725968822932</c:v>
                </c:pt>
                <c:pt idx="402">
                  <c:v>456.93006256909257</c:v>
                </c:pt>
                <c:pt idx="403">
                  <c:v>458.95577049414044</c:v>
                </c:pt>
                <c:pt idx="404">
                  <c:v>460.98436421195134</c:v>
                </c:pt>
                <c:pt idx="405">
                  <c:v>463.01582447388915</c:v>
                </c:pt>
                <c:pt idx="406">
                  <c:v>465.05013203421964</c:v>
                </c:pt>
                <c:pt idx="407">
                  <c:v>467.08726765022607</c:v>
                </c:pt>
                <c:pt idx="408">
                  <c:v>469.12721208232455</c:v>
                </c:pt>
                <c:pt idx="409">
                  <c:v>471.16994609417878</c:v>
                </c:pt>
                <c:pt idx="410">
                  <c:v>473.21545045281391</c:v>
                </c:pt>
                <c:pt idx="411">
                  <c:v>475.26369633858195</c:v>
                </c:pt>
                <c:pt idx="412">
                  <c:v>477.31463575605761</c:v>
                </c:pt>
                <c:pt idx="413">
                  <c:v>479.36821113031192</c:v>
                </c:pt>
                <c:pt idx="414">
                  <c:v>481.42436490253147</c:v>
                </c:pt>
                <c:pt idx="415">
                  <c:v>483.48303953068074</c:v>
                </c:pt>
                <c:pt idx="416">
                  <c:v>485.54417749015965</c:v>
                </c:pt>
                <c:pt idx="417">
                  <c:v>487.60772127445665</c:v>
                </c:pt>
                <c:pt idx="418">
                  <c:v>489.67361339579639</c:v>
                </c:pt>
                <c:pt idx="419">
                  <c:v>491.74179638578323</c:v>
                </c:pt>
                <c:pt idx="420">
                  <c:v>493.8122073494377</c:v>
                </c:pt>
                <c:pt idx="421">
                  <c:v>495.88477252045203</c:v>
                </c:pt>
                <c:pt idx="422">
                  <c:v>497.95941271297528</c:v>
                </c:pt>
                <c:pt idx="423">
                  <c:v>500.03604877241941</c:v>
                </c:pt>
                <c:pt idx="424">
                  <c:v>502.11460157657513</c:v>
                </c:pt>
                <c:pt idx="425">
                  <c:v>504.19499203671876</c:v>
                </c:pt>
                <c:pt idx="426">
                  <c:v>506.27714109870954</c:v>
                </c:pt>
                <c:pt idx="427">
                  <c:v>508.36096974407781</c:v>
                </c:pt>
                <c:pt idx="428">
                  <c:v>510.4463989911041</c:v>
                </c:pt>
                <c:pt idx="429">
                  <c:v>512.53334989588848</c:v>
                </c:pt>
                <c:pt idx="430">
                  <c:v>514.62174355341108</c:v>
                </c:pt>
                <c:pt idx="431">
                  <c:v>516.71150109858274</c:v>
                </c:pt>
                <c:pt idx="432">
                  <c:v>518.80253494759711</c:v>
                </c:pt>
                <c:pt idx="433">
                  <c:v>520.89474004312854</c:v>
                </c:pt>
                <c:pt idx="434">
                  <c:v>522.98800262533712</c:v>
                </c:pt>
                <c:pt idx="435">
                  <c:v>525.08220899953869</c:v>
                </c:pt>
                <c:pt idx="436">
                  <c:v>527.17724553826235</c:v>
                </c:pt>
                <c:pt idx="437">
                  <c:v>529.27299868328885</c:v>
                </c:pt>
                <c:pt idx="438">
                  <c:v>531.3693549476684</c:v>
                </c:pt>
                <c:pt idx="439">
                  <c:v>533.46620091771956</c:v>
                </c:pt>
                <c:pt idx="440">
                  <c:v>535.56342325500782</c:v>
                </c:pt>
                <c:pt idx="441">
                  <c:v>537.66090869830407</c:v>
                </c:pt>
                <c:pt idx="442">
                  <c:v>539.75854937853421</c:v>
                </c:pt>
                <c:pt idx="443">
                  <c:v>541.85624813009497</c:v>
                </c:pt>
                <c:pt idx="444">
                  <c:v>543.95391317157726</c:v>
                </c:pt>
                <c:pt idx="445">
                  <c:v>546.05145278975772</c:v>
                </c:pt>
                <c:pt idx="446">
                  <c:v>548.14877534081086</c:v>
                </c:pt>
                <c:pt idx="447">
                  <c:v>550.24578925150854</c:v>
                </c:pt>
                <c:pt idx="448">
                  <c:v>552.34240302040587</c:v>
                </c:pt>
                <c:pt idx="449">
                  <c:v>554.43852521901385</c:v>
                </c:pt>
                <c:pt idx="450">
                  <c:v>556.53406449295949</c:v>
                </c:pt>
                <c:pt idx="451">
                  <c:v>558.62892956313169</c:v>
                </c:pt>
                <c:pt idx="452">
                  <c:v>560.7230292268149</c:v>
                </c:pt>
                <c:pt idx="453">
                  <c:v>562.81627995837891</c:v>
                </c:pt>
                <c:pt idx="454">
                  <c:v>564.90861350330624</c:v>
                </c:pt>
                <c:pt idx="455">
                  <c:v>566.99996926593099</c:v>
                </c:pt>
                <c:pt idx="456">
                  <c:v>569.09028670349437</c:v>
                </c:pt>
                <c:pt idx="457">
                  <c:v>571.17950532657562</c:v>
                </c:pt>
                <c:pt idx="458">
                  <c:v>573.26756469951738</c:v>
                </c:pt>
                <c:pt idx="459">
                  <c:v>575.35440444084577</c:v>
                </c:pt>
                <c:pt idx="460">
                  <c:v>577.43996422368423</c:v>
                </c:pt>
                <c:pt idx="461">
                  <c:v>579.52419061104365</c:v>
                </c:pt>
                <c:pt idx="462">
                  <c:v>581.60704388455167</c:v>
                </c:pt>
                <c:pt idx="463">
                  <c:v>583.68849119682238</c:v>
                </c:pt>
                <c:pt idx="464">
                  <c:v>585.76849973021842</c:v>
                </c:pt>
                <c:pt idx="465">
                  <c:v>587.84703669692669</c:v>
                </c:pt>
                <c:pt idx="466">
                  <c:v>589.9240635989438</c:v>
                </c:pt>
                <c:pt idx="467">
                  <c:v>591.99953049374324</c:v>
                </c:pt>
                <c:pt idx="468">
                  <c:v>594.07331782923995</c:v>
                </c:pt>
                <c:pt idx="469">
                  <c:v>596.14525655520231</c:v>
                </c:pt>
                <c:pt idx="470">
                  <c:v>598.21527030284733</c:v>
                </c:pt>
                <c:pt idx="471">
                  <c:v>600.28336099070248</c:v>
                </c:pt>
                <c:pt idx="472">
                  <c:v>602.34953053304366</c:v>
                </c:pt>
                <c:pt idx="473">
                  <c:v>604.41378083990742</c:v>
                </c:pt>
                <c:pt idx="474">
                  <c:v>606.47611381710271</c:v>
                </c:pt>
                <c:pt idx="475">
                  <c:v>608.53653136622324</c:v>
                </c:pt>
                <c:pt idx="476">
                  <c:v>610.59503538465958</c:v>
                </c:pt>
                <c:pt idx="477">
                  <c:v>612.6516277656109</c:v>
                </c:pt>
                <c:pt idx="478">
                  <c:v>614.70631039809712</c:v>
                </c:pt>
                <c:pt idx="479">
                  <c:v>616.75908516697064</c:v>
                </c:pt>
                <c:pt idx="480">
                  <c:v>618.80995395292825</c:v>
                </c:pt>
                <c:pt idx="481">
                  <c:v>620.858918632523</c:v>
                </c:pt>
                <c:pt idx="482">
                  <c:v>622.90598107817584</c:v>
                </c:pt>
                <c:pt idx="483">
                  <c:v>624.95114315818751</c:v>
                </c:pt>
                <c:pt idx="484">
                  <c:v>626.99440673675008</c:v>
                </c:pt>
                <c:pt idx="485">
                  <c:v>629.03577367395849</c:v>
                </c:pt>
                <c:pt idx="486">
                  <c:v>631.07524582582255</c:v>
                </c:pt>
                <c:pt idx="487">
                  <c:v>633.112825044278</c:v>
                </c:pt>
                <c:pt idx="488">
                  <c:v>635.14851317719831</c:v>
                </c:pt>
                <c:pt idx="489">
                  <c:v>637.18231206840608</c:v>
                </c:pt>
                <c:pt idx="490">
                  <c:v>639.21422355768459</c:v>
                </c:pt>
                <c:pt idx="491">
                  <c:v>641.24424948078899</c:v>
                </c:pt>
                <c:pt idx="492">
                  <c:v>643.27239166945765</c:v>
                </c:pt>
                <c:pt idx="493">
                  <c:v>645.29865195142361</c:v>
                </c:pt>
                <c:pt idx="494">
                  <c:v>647.32303215042589</c:v>
                </c:pt>
                <c:pt idx="495">
                  <c:v>649.34553408622037</c:v>
                </c:pt>
                <c:pt idx="496">
                  <c:v>651.36615957459139</c:v>
                </c:pt>
                <c:pt idx="497">
                  <c:v>653.38491042736268</c:v>
                </c:pt>
                <c:pt idx="498">
                  <c:v>655.40178845240848</c:v>
                </c:pt>
                <c:pt idx="499">
                  <c:v>657.41679545366469</c:v>
                </c:pt>
                <c:pt idx="500">
                  <c:v>659.42993323113956</c:v>
                </c:pt>
                <c:pt idx="501">
                  <c:v>679.45864285105449</c:v>
                </c:pt>
                <c:pt idx="502">
                  <c:v>699.30158929699337</c:v>
                </c:pt>
                <c:pt idx="503">
                  <c:v>718.9605331966626</c:v>
                </c:pt>
                <c:pt idx="504">
                  <c:v>738.43719740646941</c:v>
                </c:pt>
                <c:pt idx="505">
                  <c:v>757.7332680446591</c:v>
                </c:pt>
                <c:pt idx="506">
                  <c:v>776.85039548846339</c:v>
                </c:pt>
                <c:pt idx="507">
                  <c:v>795.79019533675955</c:v>
                </c:pt>
                <c:pt idx="508">
                  <c:v>814.5542493396656</c:v>
                </c:pt>
                <c:pt idx="509">
                  <c:v>833.14410629642953</c:v>
                </c:pt>
                <c:pt idx="510">
                  <c:v>851.56128292290373</c:v>
                </c:pt>
                <c:pt idx="511">
                  <c:v>869.80726468983664</c:v>
                </c:pt>
                <c:pt idx="512">
                  <c:v>887.88350663315282</c:v>
                </c:pt>
                <c:pt idx="513">
                  <c:v>905.79143413734016</c:v>
                </c:pt>
                <c:pt idx="514">
                  <c:v>923.5324436930099</c:v>
                </c:pt>
                <c:pt idx="515">
                  <c:v>941.10790362964497</c:v>
                </c:pt>
                <c:pt idx="516">
                  <c:v>958.51915482450727</c:v>
                </c:pt>
                <c:pt idx="517">
                  <c:v>975.76751138862846</c:v>
                </c:pt>
                <c:pt idx="518">
                  <c:v>992.8542613307684</c:v>
                </c:pt>
                <c:pt idx="519">
                  <c:v>1009.7806672001849</c:v>
                </c:pt>
                <c:pt idx="520">
                  <c:v>1026.5479667090199</c:v>
                </c:pt>
                <c:pt idx="521">
                  <c:v>1043.1573733350735</c:v>
                </c:pt>
                <c:pt idx="522">
                  <c:v>1059.6100769057011</c:v>
                </c:pt>
                <c:pt idx="523">
                  <c:v>1075.9072441635383</c:v>
                </c:pt>
                <c:pt idx="524">
                  <c:v>1092.0500193147252</c:v>
                </c:pt>
                <c:pt idx="525">
                  <c:v>1108.039524560277</c:v>
                </c:pt>
                <c:pt idx="526">
                  <c:v>1123.8768606112135</c:v>
                </c:pt>
                <c:pt idx="527">
                  <c:v>1139.5631071880414</c:v>
                </c:pt>
                <c:pt idx="528">
                  <c:v>1155.0993235051512</c:v>
                </c:pt>
                <c:pt idx="529">
                  <c:v>1170.4865487406726</c:v>
                </c:pt>
                <c:pt idx="530">
                  <c:v>1185.7258024923026</c:v>
                </c:pt>
                <c:pt idx="531">
                  <c:v>1200.8180852196092</c:v>
                </c:pt>
                <c:pt idx="532">
                  <c:v>1215.7643786732806</c:v>
                </c:pt>
                <c:pt idx="533">
                  <c:v>1230.5656463117814</c:v>
                </c:pt>
                <c:pt idx="534">
                  <c:v>1245.2228337058505</c:v>
                </c:pt>
                <c:pt idx="535">
                  <c:v>1259.7368689312618</c:v>
                </c:pt>
                <c:pt idx="536">
                  <c:v>1274.1086629502522</c:v>
                </c:pt>
                <c:pt idx="537">
                  <c:v>1288.3391099820017</c:v>
                </c:pt>
                <c:pt idx="538">
                  <c:v>1302.4290878625372</c:v>
                </c:pt>
                <c:pt idx="539">
                  <c:v>1316.3794583944191</c:v>
                </c:pt>
                <c:pt idx="540">
                  <c:v>1330.19106768655</c:v>
                </c:pt>
                <c:pt idx="541">
                  <c:v>1343.8647464844371</c:v>
                </c:pt>
                <c:pt idx="542">
                  <c:v>1357.4013104912228</c:v>
                </c:pt>
                <c:pt idx="543">
                  <c:v>1370.8015606797901</c:v>
                </c:pt>
                <c:pt idx="544">
                  <c:v>1384.0662835962312</c:v>
                </c:pt>
                <c:pt idx="545">
                  <c:v>1397.1962516549647</c:v>
                </c:pt>
                <c:pt idx="546">
                  <c:v>1410.192223425769</c:v>
                </c:pt>
                <c:pt idx="547">
                  <c:v>1423.0549439129927</c:v>
                </c:pt>
                <c:pt idx="548">
                  <c:v>1435.7851448271922</c:v>
                </c:pt>
                <c:pt idx="549">
                  <c:v>1448.3835448494387</c:v>
                </c:pt>
                <c:pt idx="550">
                  <c:v>1460.8508498885255</c:v>
                </c:pt>
                <c:pt idx="551">
                  <c:v>1473.1877533312982</c:v>
                </c:pt>
                <c:pt idx="552">
                  <c:v>1485.3949362863254</c:v>
                </c:pt>
                <c:pt idx="553">
                  <c:v>1497.4730678211158</c:v>
                </c:pt>
                <c:pt idx="554">
                  <c:v>1509.42280519308</c:v>
                </c:pt>
                <c:pt idx="555">
                  <c:v>1521.2447940744337</c:v>
                </c:pt>
                <c:pt idx="556">
                  <c:v>1532.9396687712235</c:v>
                </c:pt>
                <c:pt idx="557">
                  <c:v>1544.5080524366583</c:v>
                </c:pt>
                <c:pt idx="558">
                  <c:v>1555.9505572789146</c:v>
                </c:pt>
                <c:pt idx="559">
                  <c:v>1567.2677847635878</c:v>
                </c:pt>
                <c:pt idx="560">
                  <c:v>1578.4603258109453</c:v>
                </c:pt>
                <c:pt idx="561">
                  <c:v>1589.5287609881395</c:v>
                </c:pt>
                <c:pt idx="562">
                  <c:v>1600.4736606965303</c:v>
                </c:pt>
                <c:pt idx="563">
                  <c:v>1611.2955853542603</c:v>
                </c:pt>
                <c:pt idx="564">
                  <c:v>1621.9950855742245</c:v>
                </c:pt>
                <c:pt idx="565">
                  <c:v>1632.572702337568</c:v>
                </c:pt>
                <c:pt idx="566">
                  <c:v>1643.0289671628439</c:v>
                </c:pt>
                <c:pt idx="567">
                  <c:v>1653.364402270955</c:v>
                </c:pt>
                <c:pt idx="568">
                  <c:v>1663.5795207460053</c:v>
                </c:pt>
                <c:pt idx="569">
                  <c:v>1673.6748266921752</c:v>
                </c:pt>
                <c:pt idx="570">
                  <c:v>1683.6508153867373</c:v>
                </c:pt>
                <c:pt idx="571">
                  <c:v>1693.5079734293229</c:v>
                </c:pt>
                <c:pt idx="572">
                  <c:v>1703.2467788875456</c:v>
                </c:pt>
                <c:pt idx="573">
                  <c:v>1712.8677014390867</c:v>
                </c:pt>
                <c:pt idx="574">
                  <c:v>1722.3712025103412</c:v>
                </c:pt>
                <c:pt idx="575">
                  <c:v>1731.7577354117245</c:v>
                </c:pt>
                <c:pt idx="576">
                  <c:v>1741.0277454697316</c:v>
                </c:pt>
                <c:pt idx="577">
                  <c:v>1750.1816701558414</c:v>
                </c:pt>
                <c:pt idx="578">
                  <c:v>1759.2199392123559</c:v>
                </c:pt>
                <c:pt idx="579">
                  <c:v>1768.1429747752591</c:v>
                </c:pt>
                <c:pt idx="580">
                  <c:v>1776.9511914941804</c:v>
                </c:pt>
                <c:pt idx="581">
                  <c:v>1785.6449966495445</c:v>
                </c:pt>
                <c:pt idx="582">
                  <c:v>1794.2247902669851</c:v>
                </c:pt>
                <c:pt idx="583">
                  <c:v>1802.6909652291019</c:v>
                </c:pt>
                <c:pt idx="584">
                  <c:v>1811.0439073846348</c:v>
                </c:pt>
                <c:pt idx="585">
                  <c:v>1819.2839956551279</c:v>
                </c:pt>
                <c:pt idx="586">
                  <c:v>1827.4116021391567</c:v>
                </c:pt>
                <c:pt idx="587">
                  <c:v>1835.4270922141861</c:v>
                </c:pt>
                <c:pt idx="588">
                  <c:v>1843.3308246361282</c:v>
                </c:pt>
                <c:pt idx="589">
                  <c:v>1851.1231516366663</c:v>
                </c:pt>
                <c:pt idx="590">
                  <c:v>1858.8044190184105</c:v>
                </c:pt>
                <c:pt idx="591">
                  <c:v>1866.3749662479484</c:v>
                </c:pt>
                <c:pt idx="592">
                  <c:v>1873.8351265468527</c:v>
                </c:pt>
                <c:pt idx="593">
                  <c:v>1881.1852269807093</c:v>
                </c:pt>
                <c:pt idx="594">
                  <c:v>1888.4255885462233</c:v>
                </c:pt>
                <c:pt idx="595">
                  <c:v>1895.5565262564655</c:v>
                </c:pt>
                <c:pt idx="596">
                  <c:v>1902.5783492243158</c:v>
                </c:pt>
                <c:pt idx="597">
                  <c:v>1909.491360744162</c:v>
                </c:pt>
                <c:pt idx="598">
                  <c:v>1916.2958583719114</c:v>
                </c:pt>
                <c:pt idx="599">
                  <c:v>1922.9921340033732</c:v>
                </c:pt>
                <c:pt idx="600">
                  <c:v>1929.580473951065</c:v>
                </c:pt>
                <c:pt idx="601">
                  <c:v>1936.0611590195028</c:v>
                </c:pt>
                <c:pt idx="602">
                  <c:v>1942.4344645790288</c:v>
                </c:pt>
                <c:pt idx="603">
                  <c:v>1948.700660638232</c:v>
                </c:pt>
                <c:pt idx="604">
                  <c:v>1954.8600119150187</c:v>
                </c:pt>
                <c:pt idx="605">
                  <c:v>1960.9127779063892</c:v>
                </c:pt>
                <c:pt idx="606">
                  <c:v>1966.8592129569754</c:v>
                </c:pt>
                <c:pt idx="607">
                  <c:v>1972.6995663263981</c:v>
                </c:pt>
                <c:pt idx="608">
                  <c:v>1978.4340822554989</c:v>
                </c:pt>
                <c:pt idx="609">
                  <c:v>1984.063000031507</c:v>
                </c:pt>
                <c:pt idx="610">
                  <c:v>1989.5865540521991</c:v>
                </c:pt>
                <c:pt idx="611">
                  <c:v>1995.0049738891107</c:v>
                </c:pt>
                <c:pt idx="612">
                  <c:v>2000.3184843498634</c:v>
                </c:pt>
                <c:pt idx="613">
                  <c:v>2005.527305539666</c:v>
                </c:pt>
                <c:pt idx="614">
                  <c:v>2010.6316529220587</c:v>
                </c:pt>
                <c:pt idx="615">
                  <c:v>2015.6317373789605</c:v>
                </c:pt>
                <c:pt idx="616">
                  <c:v>2020.5277652700927</c:v>
                </c:pt>
                <c:pt idx="617">
                  <c:v>2025.3199384918439</c:v>
                </c:pt>
                <c:pt idx="618">
                  <c:v>2030.0084545356508</c:v>
                </c:pt>
                <c:pt idx="619">
                  <c:v>2034.5935065459676</c:v>
                </c:pt>
                <c:pt idx="620">
                  <c:v>2039.0752833779029</c:v>
                </c:pt>
                <c:pt idx="621">
                  <c:v>2043.4539696546028</c:v>
                </c:pt>
                <c:pt idx="622">
                  <c:v>2047.7297458244623</c:v>
                </c:pt>
                <c:pt idx="623">
                  <c:v>2051.9027882182522</c:v>
                </c:pt>
                <c:pt idx="624">
                  <c:v>2055.9732691062527</c:v>
                </c:pt>
                <c:pt idx="625">
                  <c:v>2059.9413567554825</c:v>
                </c:pt>
                <c:pt idx="626">
                  <c:v>2063.8072154871247</c:v>
                </c:pt>
                <c:pt idx="627">
                  <c:v>2067.5710057342499</c:v>
                </c:pt>
                <c:pt idx="628">
                  <c:v>2071.2328840999371</c:v>
                </c:pt>
                <c:pt idx="629">
                  <c:v>2074.7930034159081</c:v>
                </c:pt>
                <c:pt idx="630">
                  <c:v>2078.2515128017835</c:v>
                </c:pt>
                <c:pt idx="631">
                  <c:v>2081.6085577250801</c:v>
                </c:pt>
                <c:pt idx="632">
                  <c:v>2084.8642800620705</c:v>
                </c:pt>
                <c:pt idx="633">
                  <c:v>2088.0188181596327</c:v>
                </c:pt>
                <c:pt idx="634">
                  <c:v>2091.0723068982138</c:v>
                </c:pt>
                <c:pt idx="635">
                  <c:v>2094.0248777560496</c:v>
                </c:pt>
                <c:pt idx="636">
                  <c:v>2096.8766588747658</c:v>
                </c:pt>
                <c:pt idx="637">
                  <c:v>2099.6277751265097</c:v>
                </c:pt>
                <c:pt idx="638">
                  <c:v>2102.2783481827464</c:v>
                </c:pt>
                <c:pt idx="639">
                  <c:v>2104.8284965848666</c:v>
                </c:pt>
                <c:pt idx="640">
                  <c:v>2107.2783358167435</c:v>
                </c:pt>
                <c:pt idx="641">
                  <c:v>2109.6279783793884</c:v>
                </c:pt>
                <c:pt idx="642">
                  <c:v>2111.8775338678374</c:v>
                </c:pt>
                <c:pt idx="643">
                  <c:v>2114.0271090504102</c:v>
                </c:pt>
                <c:pt idx="644">
                  <c:v>2116.0768079504733</c:v>
                </c:pt>
                <c:pt idx="645">
                  <c:v>2118.0267319308314</c:v>
                </c:pt>
                <c:pt idx="646">
                  <c:v>2119.8769797808623</c:v>
                </c:pt>
                <c:pt idx="647">
                  <c:v>2121.6276478065024</c:v>
                </c:pt>
                <c:pt idx="648">
                  <c:v>2123.2788299231752</c:v>
                </c:pt>
                <c:pt idx="649">
                  <c:v>2124.830617751737</c:v>
                </c:pt>
                <c:pt idx="650">
                  <c:v>2126.2831007175014</c:v>
                </c:pt>
                <c:pt idx="651">
                  <c:v>2127.6363661523783</c:v>
                </c:pt>
                <c:pt idx="652">
                  <c:v>2128.8904994001441</c:v>
                </c:pt>
                <c:pt idx="653">
                  <c:v>2130.0455839248311</c:v>
                </c:pt>
                <c:pt idx="654">
                  <c:v>2131.1017014221975</c:v>
                </c:pt>
                <c:pt idx="655">
                  <c:v>2132.0589319342125</c:v>
                </c:pt>
                <c:pt idx="656">
                  <c:v>2132.917353966458</c:v>
                </c:pt>
                <c:pt idx="657">
                  <c:v>2133.677044608311</c:v>
                </c:pt>
                <c:pt idx="658">
                  <c:v>2134.3380796557508</c:v>
                </c:pt>
                <c:pt idx="659">
                  <c:v>2134.9005337365847</c:v>
                </c:pt>
                <c:pt idx="660">
                  <c:v>2135.3644804378696</c:v>
                </c:pt>
                <c:pt idx="661">
                  <c:v>2135.7299924352651</c:v>
                </c:pt>
                <c:pt idx="662">
                  <c:v>2135.9971416240282</c:v>
                </c:pt>
                <c:pt idx="663">
                  <c:v>2136.1659992513328</c:v>
                </c:pt>
                <c:pt idx="664">
                  <c:v>2136.2366360495694</c:v>
                </c:pt>
                <c:pt idx="665">
                  <c:v>2136.2091223702701</c:v>
                </c:pt>
                <c:pt idx="666">
                  <c:v>2136.0835283182769</c:v>
                </c:pt>
                <c:pt idx="667">
                  <c:v>2135.8599238857687</c:v>
                </c:pt>
                <c:pt idx="668">
                  <c:v>2135.5383790857531</c:v>
                </c:pt>
                <c:pt idx="669">
                  <c:v>2135.1189640846324</c:v>
                </c:pt>
                <c:pt idx="670">
                  <c:v>2134.6017493334512</c:v>
                </c:pt>
                <c:pt idx="671">
                  <c:v>2133.9868056974533</c:v>
                </c:pt>
                <c:pt idx="672">
                  <c:v>2133.2742045835776</c:v>
                </c:pt>
                <c:pt idx="673">
                  <c:v>2132.4640180655551</c:v>
                </c:pt>
                <c:pt idx="674">
                  <c:v>2131.5563190062835</c:v>
                </c:pt>
                <c:pt idx="675">
                  <c:v>2130.5511811771839</c:v>
                </c:pt>
                <c:pt idx="676">
                  <c:v>2129.4486793742785</c:v>
                </c:pt>
                <c:pt idx="677">
                  <c:v>2128.2488895307497</c:v>
                </c:pt>
                <c:pt idx="678">
                  <c:v>2126.9518888257858</c:v>
                </c:pt>
                <c:pt idx="679">
                  <c:v>2125.5577557895413</c:v>
                </c:pt>
                <c:pt idx="680">
                  <c:v>2124.0665704040748</c:v>
                </c:pt>
                <c:pt idx="681">
                  <c:v>2122.4784142001672</c:v>
                </c:pt>
                <c:pt idx="682">
                  <c:v>2120.7933703499452</c:v>
                </c:pt>
                <c:pt idx="683">
                  <c:v>2119.0115237552668</c:v>
                </c:pt>
                <c:pt idx="684">
                  <c:v>2117.1329611318588</c:v>
                </c:pt>
                <c:pt idx="685">
                  <c:v>2115.1577710892143</c:v>
                </c:pt>
                <c:pt idx="686">
                  <c:v>2113.0860442062867</c:v>
                </c:pt>
                <c:pt idx="687">
                  <c:v>2110.9178731030338</c:v>
                </c:pt>
                <c:pt idx="688">
                  <c:v>2108.6533525078858</c:v>
                </c:pt>
                <c:pt idx="689">
                  <c:v>2106.2925793212257</c:v>
                </c:pt>
                <c:pt idx="690">
                  <c:v>2103.8356526749849</c:v>
                </c:pt>
                <c:pt idx="691">
                  <c:v>2101.2826739884617</c:v>
                </c:pt>
                <c:pt idx="692">
                  <c:v>2098.6337470204894</c:v>
                </c:pt>
                <c:pt idx="693">
                  <c:v>2095.8889779180786</c:v>
                </c:pt>
                <c:pt idx="694">
                  <c:v>2093.0484752616621</c:v>
                </c:pt>
                <c:pt idx="695">
                  <c:v>2090.1123501070833</c:v>
                </c:pt>
                <c:pt idx="696">
                  <c:v>2087.080716024459</c:v>
                </c:pt>
                <c:pt idx="697">
                  <c:v>2083.9536891340535</c:v>
                </c:pt>
                <c:pt idx="698">
                  <c:v>2080.7313881393034</c:v>
                </c:pt>
                <c:pt idx="699">
                  <c:v>2077.4139343571187</c:v>
                </c:pt>
                <c:pt idx="700">
                  <c:v>2074.001451745597</c:v>
                </c:pt>
                <c:pt idx="701">
                  <c:v>2070.4940669292755</c:v>
                </c:pt>
                <c:pt idx="702">
                  <c:v>2066.891909222044</c:v>
                </c:pt>
                <c:pt idx="703">
                  <c:v>2063.1951106478364</c:v>
                </c:pt>
                <c:pt idx="704">
                  <c:v>2059.4038059592199</c:v>
                </c:pt>
                <c:pt idx="705">
                  <c:v>2055.5181326539832</c:v>
                </c:pt>
                <c:pt idx="706">
                  <c:v>2051.5382309898391</c:v>
                </c:pt>
                <c:pt idx="707">
                  <c:v>2047.4642439973306</c:v>
                </c:pt>
                <c:pt idx="708">
                  <c:v>2043.2963174910437</c:v>
                </c:pt>
                <c:pt idx="709">
                  <c:v>2039.0346000792129</c:v>
                </c:pt>
                <c:pt idx="710">
                  <c:v>2034.6792431718043</c:v>
                </c:pt>
                <c:pt idx="711">
                  <c:v>2030.2304009871609</c:v>
                </c:pt>
                <c:pt idx="712">
                  <c:v>2025.6882305572806</c:v>
                </c:pt>
                <c:pt idx="713">
                  <c:v>2021.0528917318036</c:v>
                </c:pt>
                <c:pt idx="714">
                  <c:v>2016.3245471807734</c:v>
                </c:pt>
                <c:pt idx="715">
                  <c:v>2011.5033623962379</c:v>
                </c:pt>
                <c:pt idx="716">
                  <c:v>2006.5895056927475</c:v>
                </c:pt>
                <c:pt idx="717">
                  <c:v>2001.5831482068077</c:v>
                </c:pt>
                <c:pt idx="718">
                  <c:v>1996.48446389534</c:v>
                </c:pt>
                <c:pt idx="719">
                  <c:v>1991.2936295331983</c:v>
                </c:pt>
                <c:pt idx="720">
                  <c:v>1986.0108247097892</c:v>
                </c:pt>
                <c:pt idx="721">
                  <c:v>1980.6362318248375</c:v>
                </c:pt>
                <c:pt idx="722">
                  <c:v>1975.1700360833408</c:v>
                </c:pt>
                <c:pt idx="723">
                  <c:v>1969.6124254897481</c:v>
                </c:pt>
                <c:pt idx="724">
                  <c:v>1963.9635908414004</c:v>
                </c:pt>
                <c:pt idx="725">
                  <c:v>1958.2237257212664</c:v>
                </c:pt>
                <c:pt idx="726">
                  <c:v>1952.3930264900041</c:v>
                </c:pt>
                <c:pt idx="727">
                  <c:v>1946.4716922773789</c:v>
                </c:pt>
                <c:pt idx="728">
                  <c:v>1940.459924973065</c:v>
                </c:pt>
                <c:pt idx="729">
                  <c:v>1934.3579292168567</c:v>
                </c:pt>
                <c:pt idx="730">
                  <c:v>1928.1659123883139</c:v>
                </c:pt>
                <c:pt idx="731">
                  <c:v>1921.8840845958644</c:v>
                </c:pt>
                <c:pt idx="732">
                  <c:v>1915.5126586653844</c:v>
                </c:pt>
                <c:pt idx="733">
                  <c:v>1909.0518501282788</c:v>
                </c:pt>
                <c:pt idx="734">
                  <c:v>1902.5018772090787</c:v>
                </c:pt>
                <c:pt idx="735">
                  <c:v>1895.8629608125741</c:v>
                </c:pt>
                <c:pt idx="736">
                  <c:v>1889.1353245105011</c:v>
                </c:pt>
                <c:pt idx="737">
                  <c:v>1882.3191945277956</c:v>
                </c:pt>
                <c:pt idx="738">
                  <c:v>1875.4147997284324</c:v>
                </c:pt>
                <c:pt idx="739">
                  <c:v>1868.422371600861</c:v>
                </c:pt>
                <c:pt idx="740">
                  <c:v>1861.3421442430538</c:v>
                </c:pt>
                <c:pt idx="741">
                  <c:v>1854.1743543471778</c:v>
                </c:pt>
                <c:pt idx="742">
                  <c:v>1846.9192411839019</c:v>
                </c:pt>
                <c:pt idx="743">
                  <c:v>1839.5770465863532</c:v>
                </c:pt>
                <c:pt idx="744">
                  <c:v>1832.1480149337299</c:v>
                </c:pt>
                <c:pt idx="745">
                  <c:v>1824.6323931345846</c:v>
                </c:pt>
                <c:pt idx="746">
                  <c:v>1817.0304306097853</c:v>
                </c:pt>
                <c:pt idx="747">
                  <c:v>1809.3423792751639</c:v>
                </c:pt>
                <c:pt idx="748">
                  <c:v>1801.5684935238633</c:v>
                </c:pt>
                <c:pt idx="749">
                  <c:v>1793.7090302083875</c:v>
                </c:pt>
                <c:pt idx="750">
                  <c:v>1785.7642486223674</c:v>
                </c:pt>
                <c:pt idx="751">
                  <c:v>1777.7344104820468</c:v>
                </c:pt>
                <c:pt idx="752">
                  <c:v>1769.6197799074978</c:v>
                </c:pt>
                <c:pt idx="753">
                  <c:v>1761.4206234035723</c:v>
                </c:pt>
                <c:pt idx="754">
                  <c:v>1753.1372098405966</c:v>
                </c:pt>
                <c:pt idx="755">
                  <c:v>1744.7698104348156</c:v>
                </c:pt>
                <c:pt idx="756">
                  <c:v>1736.3186987285935</c:v>
                </c:pt>
                <c:pt idx="757">
                  <c:v>1727.7841505703771</c:v>
                </c:pt>
                <c:pt idx="758">
                  <c:v>1719.1664440944273</c:v>
                </c:pt>
                <c:pt idx="759">
                  <c:v>1710.4658597003252</c:v>
                </c:pt>
                <c:pt idx="760">
                  <c:v>1701.6826800322578</c:v>
                </c:pt>
                <c:pt idx="761">
                  <c:v>1692.8171899580907</c:v>
                </c:pt>
                <c:pt idx="762">
                  <c:v>1683.8696765482298</c:v>
                </c:pt>
                <c:pt idx="763">
                  <c:v>1674.8404290542805</c:v>
                </c:pt>
                <c:pt idx="764">
                  <c:v>1665.7297388875081</c:v>
                </c:pt>
                <c:pt idx="765">
                  <c:v>1656.5378995971037</c:v>
                </c:pt>
                <c:pt idx="766">
                  <c:v>1647.2652068482616</c:v>
                </c:pt>
                <c:pt idx="767">
                  <c:v>1637.9119584000739</c:v>
                </c:pt>
                <c:pt idx="768">
                  <c:v>1628.4784540832427</c:v>
                </c:pt>
                <c:pt idx="769">
                  <c:v>1618.964995777621</c:v>
                </c:pt>
                <c:pt idx="770">
                  <c:v>1609.3718873895803</c:v>
                </c:pt>
                <c:pt idx="771">
                  <c:v>1599.6994348292144</c:v>
                </c:pt>
                <c:pt idx="772">
                  <c:v>1589.9479459873805</c:v>
                </c:pt>
                <c:pt idx="773">
                  <c:v>1580.1177307125838</c:v>
                </c:pt>
                <c:pt idx="774">
                  <c:v>1570.2091007877079</c:v>
                </c:pt>
                <c:pt idx="775">
                  <c:v>1560.2223699065983</c:v>
                </c:pt>
                <c:pt idx="776">
                  <c:v>1550.1578536504992</c:v>
                </c:pt>
                <c:pt idx="777">
                  <c:v>1540.0158694643524</c:v>
                </c:pt>
                <c:pt idx="778">
                  <c:v>1529.796736632956</c:v>
                </c:pt>
                <c:pt idx="779">
                  <c:v>1519.5007762569944</c:v>
                </c:pt>
                <c:pt idx="780">
                  <c:v>1509.1283112289368</c:v>
                </c:pt>
                <c:pt idx="781">
                  <c:v>1498.6796662088132</c:v>
                </c:pt>
                <c:pt idx="782">
                  <c:v>1488.1551675998685</c:v>
                </c:pt>
                <c:pt idx="783">
                  <c:v>1477.5551435241</c:v>
                </c:pt>
                <c:pt idx="784">
                  <c:v>1466.8799237976827</c:v>
                </c:pt>
                <c:pt idx="785">
                  <c:v>1456.1298399062841</c:v>
                </c:pt>
                <c:pt idx="786">
                  <c:v>1445.3052249802752</c:v>
                </c:pt>
                <c:pt idx="787">
                  <c:v>1434.4064137698385</c:v>
                </c:pt>
                <c:pt idx="788">
                  <c:v>1423.4337426199797</c:v>
                </c:pt>
                <c:pt idx="789">
                  <c:v>1412.3875494454444</c:v>
                </c:pt>
                <c:pt idx="790">
                  <c:v>1401.2681737055448</c:v>
                </c:pt>
                <c:pt idx="791">
                  <c:v>1390.0759563788993</c:v>
                </c:pt>
                <c:pt idx="792">
                  <c:v>1378.8112399380907</c:v>
                </c:pt>
                <c:pt idx="793">
                  <c:v>1367.4743683242432</c:v>
                </c:pt>
                <c:pt idx="794">
                  <c:v>1356.0656869215259</c:v>
                </c:pt>
                <c:pt idx="795">
                  <c:v>1344.5855425315829</c:v>
                </c:pt>
                <c:pt idx="796">
                  <c:v>1333.0342833478956</c:v>
                </c:pt>
                <c:pt idx="797">
                  <c:v>1321.412258930081</c:v>
                </c:pt>
                <c:pt idx="798">
                  <c:v>1309.7198201781287</c:v>
                </c:pt>
                <c:pt idx="799">
                  <c:v>1297.9573193065803</c:v>
                </c:pt>
                <c:pt idx="800">
                  <c:v>1286.1251098186556</c:v>
                </c:pt>
                <c:pt idx="801">
                  <c:v>1274.2235464803284</c:v>
                </c:pt>
                <c:pt idx="802">
                  <c:v>1262.2529852943558</c:v>
                </c:pt>
                <c:pt idx="803">
                  <c:v>1250.2137834742646</c:v>
                </c:pt>
                <c:pt idx="804">
                  <c:v>1238.1062994182987</c:v>
                </c:pt>
                <c:pt idx="805">
                  <c:v>1225.9308926833301</c:v>
                </c:pt>
                <c:pt idx="806">
                  <c:v>1213.6879239587377</c:v>
                </c:pt>
                <c:pt idx="807">
                  <c:v>1201.3777550402583</c:v>
                </c:pt>
                <c:pt idx="808">
                  <c:v>1189.0007488038113</c:v>
                </c:pt>
                <c:pt idx="809">
                  <c:v>1176.5572691793031</c:v>
                </c:pt>
                <c:pt idx="810">
                  <c:v>1164.0476811244114</c:v>
                </c:pt>
                <c:pt idx="811">
                  <c:v>1151.4723505983573</c:v>
                </c:pt>
                <c:pt idx="812">
                  <c:v>1138.8316445356643</c:v>
                </c:pt>
                <c:pt idx="813">
                  <c:v>1126.1259308199114</c:v>
                </c:pt>
                <c:pt idx="814">
                  <c:v>1113.3555782574808</c:v>
                </c:pt>
                <c:pt idx="815">
                  <c:v>1100.5209565513053</c:v>
                </c:pt>
                <c:pt idx="816">
                  <c:v>1087.6224362746191</c:v>
                </c:pt>
                <c:pt idx="817">
                  <c:v>1074.6603888447139</c:v>
                </c:pt>
                <c:pt idx="818">
                  <c:v>1061.635186496706</c:v>
                </c:pt>
                <c:pt idx="819">
                  <c:v>1048.5472022573153</c:v>
                </c:pt>
                <c:pt idx="820">
                  <c:v>1035.3968099186616</c:v>
                </c:pt>
                <c:pt idx="821">
                  <c:v>1022.1843840120802</c:v>
                </c:pt>
                <c:pt idx="822">
                  <c:v>1008.910299781962</c:v>
                </c:pt>
                <c:pt idx="823">
                  <c:v>995.57493315961904</c:v>
                </c:pt>
                <c:pt idx="824">
                  <c:v>982.17866073718119</c:v>
                </c:pt>
                <c:pt idx="825">
                  <c:v>968.72185974152512</c:v>
                </c:pt>
                <c:pt idx="826">
                  <c:v>955.20490800824132</c:v>
                </c:pt>
                <c:pt idx="827">
                  <c:v>941.62818395564022</c:v>
                </c:pt>
                <c:pt idx="828">
                  <c:v>927.99206655880221</c:v>
                </c:pt>
                <c:pt idx="829">
                  <c:v>914.29693532367412</c:v>
                </c:pt>
                <c:pt idx="830">
                  <c:v>900.54317026121544</c:v>
                </c:pt>
                <c:pt idx="831">
                  <c:v>886.73115186159839</c:v>
                </c:pt>
                <c:pt idx="832">
                  <c:v>872.86126106846348</c:v>
                </c:pt>
                <c:pt idx="833">
                  <c:v>858.93387925323543</c:v>
                </c:pt>
                <c:pt idx="834">
                  <c:v>844.94938818950152</c:v>
                </c:pt>
                <c:pt idx="835">
                  <c:v>830.90817002745587</c:v>
                </c:pt>
                <c:pt idx="836">
                  <c:v>816.81060726841315</c:v>
                </c:pt>
                <c:pt idx="837">
                  <c:v>802.65708273939424</c:v>
                </c:pt>
                <c:pt idx="838">
                  <c:v>788.44797956778746</c:v>
                </c:pt>
                <c:pt idx="839">
                  <c:v>774.18368115608791</c:v>
                </c:pt>
                <c:pt idx="840">
                  <c:v>759.86457115671885</c:v>
                </c:pt>
                <c:pt idx="841">
                  <c:v>745.49103344693719</c:v>
                </c:pt>
                <c:pt idx="842">
                  <c:v>731.06345210382653</c:v>
                </c:pt>
                <c:pt idx="843">
                  <c:v>716.58221137938096</c:v>
                </c:pt>
                <c:pt idx="844">
                  <c:v>702.04769567568235</c:v>
                </c:pt>
                <c:pt idx="845">
                  <c:v>687.46028952017366</c:v>
                </c:pt>
                <c:pt idx="846">
                  <c:v>672.82037754103237</c:v>
                </c:pt>
                <c:pt idx="847">
                  <c:v>658.12834444264524</c:v>
                </c:pt>
                <c:pt idx="848">
                  <c:v>643.38457498118896</c:v>
                </c:pt>
                <c:pt idx="849">
                  <c:v>628.58945394031798</c:v>
                </c:pt>
                <c:pt idx="850">
                  <c:v>613.74336610696378</c:v>
                </c:pt>
                <c:pt idx="851">
                  <c:v>598.846696247247</c:v>
                </c:pt>
                <c:pt idx="852">
                  <c:v>583.89982908250613</c:v>
                </c:pt>
                <c:pt idx="853">
                  <c:v>568.90314926544488</c:v>
                </c:pt>
                <c:pt idx="854">
                  <c:v>553.85704135640151</c:v>
                </c:pt>
                <c:pt idx="855">
                  <c:v>538.76188979974188</c:v>
                </c:pt>
                <c:pt idx="856">
                  <c:v>523.61807890037994</c:v>
                </c:pt>
                <c:pt idx="857">
                  <c:v>508.4259928004272</c:v>
                </c:pt>
                <c:pt idx="858">
                  <c:v>493.18601545597426</c:v>
                </c:pt>
                <c:pt idx="859">
                  <c:v>477.89853061400703</c:v>
                </c:pt>
                <c:pt idx="860">
                  <c:v>462.56392178945981</c:v>
                </c:pt>
                <c:pt idx="861">
                  <c:v>447.18257224240773</c:v>
                </c:pt>
                <c:pt idx="862">
                  <c:v>431.75486495540105</c:v>
                </c:pt>
                <c:pt idx="863">
                  <c:v>416.28118261094374</c:v>
                </c:pt>
                <c:pt idx="864">
                  <c:v>400.76190756911842</c:v>
                </c:pt>
                <c:pt idx="865">
                  <c:v>385.1974218453604</c:v>
                </c:pt>
                <c:pt idx="866">
                  <c:v>369.58810708838257</c:v>
                </c:pt>
                <c:pt idx="867">
                  <c:v>353.93434455825383</c:v>
                </c:pt>
                <c:pt idx="868">
                  <c:v>338.23651510463282</c:v>
                </c:pt>
                <c:pt idx="869">
                  <c:v>322.49499914515951</c:v>
                </c:pt>
                <c:pt idx="870">
                  <c:v>306.71017664400654</c:v>
                </c:pt>
                <c:pt idx="871">
                  <c:v>290.88242709059233</c:v>
                </c:pt>
                <c:pt idx="872">
                  <c:v>275.01212947845835</c:v>
                </c:pt>
                <c:pt idx="873">
                  <c:v>259.09966228431176</c:v>
                </c:pt>
                <c:pt idx="874">
                  <c:v>243.14540344723656</c:v>
                </c:pt>
                <c:pt idx="875">
                  <c:v>227.149730348074</c:v>
                </c:pt>
                <c:pt idx="876">
                  <c:v>211.11301978897484</c:v>
                </c:pt>
                <c:pt idx="877">
                  <c:v>195.03564797312512</c:v>
                </c:pt>
                <c:pt idx="878">
                  <c:v>178.91799048464708</c:v>
                </c:pt>
                <c:pt idx="879">
                  <c:v>162.76042226867722</c:v>
                </c:pt>
                <c:pt idx="880">
                  <c:v>146.56331761162301</c:v>
                </c:pt>
                <c:pt idx="881">
                  <c:v>130.32705012160008</c:v>
                </c:pt>
                <c:pt idx="882">
                  <c:v>114.05199270905139</c:v>
                </c:pt>
                <c:pt idx="883">
                  <c:v>97.738517567550076</c:v>
                </c:pt>
                <c:pt idx="884">
                  <c:v>81.386996154787397</c:v>
                </c:pt>
                <c:pt idx="885">
                  <c:v>64.997799173747396</c:v>
                </c:pt>
                <c:pt idx="886">
                  <c:v>48.571296554069662</c:v>
                </c:pt>
                <c:pt idx="887">
                  <c:v>32.107857433601637</c:v>
                </c:pt>
                <c:pt idx="888">
                  <c:v>15.607850140141867</c:v>
                </c:pt>
                <c:pt idx="889">
                  <c:v>-0.92835782662458399</c:v>
                </c:pt>
                <c:pt idx="890">
                  <c:v>-0.94491206098317293</c:v>
                </c:pt>
                <c:pt idx="891">
                  <c:v>-0.96146633099248613</c:v>
                </c:pt>
                <c:pt idx="892">
                  <c:v>-0.97802063665215921</c:v>
                </c:pt>
                <c:pt idx="893">
                  <c:v>-0.9945749779618277</c:v>
                </c:pt>
                <c:pt idx="894">
                  <c:v>-1.0111293549211271</c:v>
                </c:pt>
                <c:pt idx="895">
                  <c:v>-1.027683767529693</c:v>
                </c:pt>
                <c:pt idx="896">
                  <c:v>-1.044238215787161</c:v>
                </c:pt>
                <c:pt idx="897">
                  <c:v>-1.0607926996931669</c:v>
                </c:pt>
                <c:pt idx="898">
                  <c:v>-1.0773472192473461</c:v>
                </c:pt>
                <c:pt idx="899">
                  <c:v>-1.093901774449334</c:v>
                </c:pt>
                <c:pt idx="900">
                  <c:v>-1.1104563652987665</c:v>
                </c:pt>
                <c:pt idx="901">
                  <c:v>-1.1270109917952789</c:v>
                </c:pt>
                <c:pt idx="902">
                  <c:v>-1.1435656539385068</c:v>
                </c:pt>
                <c:pt idx="903">
                  <c:v>-1.160120351728086</c:v>
                </c:pt>
                <c:pt idx="904">
                  <c:v>-1.176675085163652</c:v>
                </c:pt>
                <c:pt idx="905">
                  <c:v>-1.1932298542448403</c:v>
                </c:pt>
                <c:pt idx="906">
                  <c:v>-1.2097846589712864</c:v>
                </c:pt>
                <c:pt idx="907">
                  <c:v>-1.2263394993426262</c:v>
                </c:pt>
                <c:pt idx="908">
                  <c:v>-1.2428943753584951</c:v>
                </c:pt>
                <c:pt idx="909">
                  <c:v>-1.2594492870185285</c:v>
                </c:pt>
                <c:pt idx="910">
                  <c:v>-1.2760042343223623</c:v>
                </c:pt>
                <c:pt idx="911">
                  <c:v>-1.2925592172696319</c:v>
                </c:pt>
                <c:pt idx="912">
                  <c:v>-1.309114235859973</c:v>
                </c:pt>
                <c:pt idx="913">
                  <c:v>-1.3256692900930211</c:v>
                </c:pt>
                <c:pt idx="914">
                  <c:v>-1.3422243799684119</c:v>
                </c:pt>
                <c:pt idx="915">
                  <c:v>-1.358779505485781</c:v>
                </c:pt>
                <c:pt idx="916">
                  <c:v>-1.3753346666447637</c:v>
                </c:pt>
                <c:pt idx="917">
                  <c:v>-1.3918898634449959</c:v>
                </c:pt>
                <c:pt idx="918">
                  <c:v>-1.408445095886113</c:v>
                </c:pt>
                <c:pt idx="919">
                  <c:v>-1.4250003639677509</c:v>
                </c:pt>
                <c:pt idx="920">
                  <c:v>-1.4415556676895449</c:v>
                </c:pt>
                <c:pt idx="921">
                  <c:v>-1.4581110070511307</c:v>
                </c:pt>
                <c:pt idx="922">
                  <c:v>-1.474666382052144</c:v>
                </c:pt>
                <c:pt idx="923">
                  <c:v>-1.4912217926922202</c:v>
                </c:pt>
                <c:pt idx="924">
                  <c:v>-1.5077772389709949</c:v>
                </c:pt>
                <c:pt idx="925">
                  <c:v>-1.5243327208881039</c:v>
                </c:pt>
                <c:pt idx="926">
                  <c:v>-1.5408882384431826</c:v>
                </c:pt>
                <c:pt idx="927">
                  <c:v>-1.5574437916358668</c:v>
                </c:pt>
                <c:pt idx="928">
                  <c:v>-1.5739993804657919</c:v>
                </c:pt>
                <c:pt idx="929">
                  <c:v>-1.5905550049325936</c:v>
                </c:pt>
                <c:pt idx="930">
                  <c:v>-1.6071106650359075</c:v>
                </c:pt>
                <c:pt idx="931">
                  <c:v>-1.6236663607753692</c:v>
                </c:pt>
                <c:pt idx="932">
                  <c:v>-1.6402220921506143</c:v>
                </c:pt>
                <c:pt idx="933">
                  <c:v>-1.6567778591612785</c:v>
                </c:pt>
                <c:pt idx="934">
                  <c:v>-1.6733336618069974</c:v>
                </c:pt>
                <c:pt idx="935">
                  <c:v>-1.6898895000874066</c:v>
                </c:pt>
                <c:pt idx="936">
                  <c:v>-1.7064453740021415</c:v>
                </c:pt>
                <c:pt idx="937">
                  <c:v>-1.7230012835508379</c:v>
                </c:pt>
                <c:pt idx="938">
                  <c:v>-1.7395572287331313</c:v>
                </c:pt>
                <c:pt idx="939">
                  <c:v>-1.7561132095486576</c:v>
                </c:pt>
                <c:pt idx="940">
                  <c:v>-1.772669225997052</c:v>
                </c:pt>
                <c:pt idx="941">
                  <c:v>-1.7892252780779505</c:v>
                </c:pt>
                <c:pt idx="942">
                  <c:v>-1.8057813657909885</c:v>
                </c:pt>
                <c:pt idx="943">
                  <c:v>-1.8223374891358015</c:v>
                </c:pt>
                <c:pt idx="944">
                  <c:v>-1.8388936481120255</c:v>
                </c:pt>
                <c:pt idx="945">
                  <c:v>-1.8554498427192958</c:v>
                </c:pt>
                <c:pt idx="946">
                  <c:v>-1.8720060729572481</c:v>
                </c:pt>
                <c:pt idx="947">
                  <c:v>-1.8885623388255179</c:v>
                </c:pt>
                <c:pt idx="948">
                  <c:v>-1.905118640323741</c:v>
                </c:pt>
                <c:pt idx="949">
                  <c:v>-1.9216749774515529</c:v>
                </c:pt>
                <c:pt idx="950">
                  <c:v>-1.9382313502085895</c:v>
                </c:pt>
                <c:pt idx="951">
                  <c:v>-1.9547877585944862</c:v>
                </c:pt>
                <c:pt idx="952">
                  <c:v>-1.9713442026088785</c:v>
                </c:pt>
                <c:pt idx="953">
                  <c:v>-1.9879006822514023</c:v>
                </c:pt>
                <c:pt idx="954">
                  <c:v>-2.0044571975216932</c:v>
                </c:pt>
                <c:pt idx="955">
                  <c:v>-2.0210137484193864</c:v>
                </c:pt>
                <c:pt idx="956">
                  <c:v>-2.0375703349441179</c:v>
                </c:pt>
                <c:pt idx="957">
                  <c:v>-2.0541269570955234</c:v>
                </c:pt>
                <c:pt idx="958">
                  <c:v>-2.0706836148732384</c:v>
                </c:pt>
                <c:pt idx="959">
                  <c:v>-2.0872403082768982</c:v>
                </c:pt>
                <c:pt idx="960">
                  <c:v>-2.1037970373061392</c:v>
                </c:pt>
                <c:pt idx="961">
                  <c:v>-2.1203538019605963</c:v>
                </c:pt>
                <c:pt idx="962">
                  <c:v>-2.1369106022399054</c:v>
                </c:pt>
                <c:pt idx="963">
                  <c:v>-2.1534674381437022</c:v>
                </c:pt>
                <c:pt idx="964">
                  <c:v>-2.1700243096716223</c:v>
                </c:pt>
                <c:pt idx="965">
                  <c:v>-2.1865812168233014</c:v>
                </c:pt>
                <c:pt idx="966">
                  <c:v>-2.203138159598375</c:v>
                </c:pt>
                <c:pt idx="967">
                  <c:v>-2.2196951379964789</c:v>
                </c:pt>
                <c:pt idx="968">
                  <c:v>-2.2362521520172485</c:v>
                </c:pt>
                <c:pt idx="969">
                  <c:v>-2.2528092016603196</c:v>
                </c:pt>
                <c:pt idx="970">
                  <c:v>-2.2693662869253277</c:v>
                </c:pt>
                <c:pt idx="971">
                  <c:v>-2.2859234078119086</c:v>
                </c:pt>
                <c:pt idx="972">
                  <c:v>-2.3024805643196982</c:v>
                </c:pt>
                <c:pt idx="973">
                  <c:v>-2.3190377564483318</c:v>
                </c:pt>
                <c:pt idx="974">
                  <c:v>-2.3355949841974448</c:v>
                </c:pt>
                <c:pt idx="975">
                  <c:v>-2.3521522475666732</c:v>
                </c:pt>
                <c:pt idx="976">
                  <c:v>-2.3687095465556527</c:v>
                </c:pt>
                <c:pt idx="977">
                  <c:v>-2.3852668811640187</c:v>
                </c:pt>
                <c:pt idx="978">
                  <c:v>-2.4018242513914072</c:v>
                </c:pt>
                <c:pt idx="979">
                  <c:v>-2.4183816572374535</c:v>
                </c:pt>
                <c:pt idx="980">
                  <c:v>-2.4349390987017934</c:v>
                </c:pt>
                <c:pt idx="981">
                  <c:v>-2.4514965757840623</c:v>
                </c:pt>
                <c:pt idx="982">
                  <c:v>-2.4680540884838962</c:v>
                </c:pt>
                <c:pt idx="983">
                  <c:v>-2.4846116368009308</c:v>
                </c:pt>
                <c:pt idx="984">
                  <c:v>-2.5011692207348015</c:v>
                </c:pt>
                <c:pt idx="985">
                  <c:v>-2.5177268402851438</c:v>
                </c:pt>
                <c:pt idx="986">
                  <c:v>-2.534284495451594</c:v>
                </c:pt>
                <c:pt idx="987">
                  <c:v>-2.5508421862337869</c:v>
                </c:pt>
                <c:pt idx="988">
                  <c:v>-2.5673999126313589</c:v>
                </c:pt>
                <c:pt idx="989">
                  <c:v>-2.583957674643945</c:v>
                </c:pt>
                <c:pt idx="990">
                  <c:v>-2.6005154722711814</c:v>
                </c:pt>
                <c:pt idx="991">
                  <c:v>-2.6170733055127036</c:v>
                </c:pt>
                <c:pt idx="992">
                  <c:v>-2.6336311743681473</c:v>
                </c:pt>
                <c:pt idx="993">
                  <c:v>-2.650189078837148</c:v>
                </c:pt>
                <c:pt idx="994">
                  <c:v>-2.6667470189193416</c:v>
                </c:pt>
                <c:pt idx="995">
                  <c:v>-2.6833049946143634</c:v>
                </c:pt>
                <c:pt idx="996">
                  <c:v>-2.6998630059218494</c:v>
                </c:pt>
                <c:pt idx="997">
                  <c:v>-2.7164210528414348</c:v>
                </c:pt>
                <c:pt idx="998">
                  <c:v>-2.7329791353727555</c:v>
                </c:pt>
                <c:pt idx="999">
                  <c:v>-2.7495372535154474</c:v>
                </c:pt>
                <c:pt idx="1000">
                  <c:v>-2.7660954072691459</c:v>
                </c:pt>
              </c:numCache>
            </c:numRef>
          </c:yVal>
          <c:smooth val="0"/>
          <c:extLst>
            <c:ext xmlns:c16="http://schemas.microsoft.com/office/drawing/2014/chart" uri="{C3380CC4-5D6E-409C-BE32-E72D297353CC}">
              <c16:uniqueId val="{00000001-8016-4DF9-AB17-EDCEE1754333}"/>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Orignal (Pro75-3G C)</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0.01</c:v>
                </c:pt>
                <c:pt idx="2">
                  <c:v>0.1</c:v>
                </c:pt>
                <c:pt idx="3">
                  <c:v>0.12</c:v>
                </c:pt>
                <c:pt idx="4">
                  <c:v>0.26</c:v>
                </c:pt>
                <c:pt idx="5">
                  <c:v>0.71</c:v>
                </c:pt>
                <c:pt idx="6">
                  <c:v>1.28</c:v>
                </c:pt>
                <c:pt idx="7">
                  <c:v>2.0499999999999998</c:v>
                </c:pt>
                <c:pt idx="8">
                  <c:v>2.41</c:v>
                </c:pt>
                <c:pt idx="9">
                  <c:v>2.83</c:v>
                </c:pt>
                <c:pt idx="10">
                  <c:v>3.25</c:v>
                </c:pt>
                <c:pt idx="11">
                  <c:v>3.65</c:v>
                </c:pt>
                <c:pt idx="12">
                  <c:v>3.8</c:v>
                </c:pt>
                <c:pt idx="13">
                  <c:v>4</c:v>
                </c:pt>
                <c:pt idx="14">
                  <c:v>4.0999999999999996</c:v>
                </c:pt>
                <c:pt idx="15">
                  <c:v>4.1900000000000004</c:v>
                </c:pt>
                <c:pt idx="16">
                  <c:v>4.3099999999999996</c:v>
                </c:pt>
                <c:pt idx="17">
                  <c:v>4.41</c:v>
                </c:pt>
                <c:pt idx="18">
                  <c:v>4.5199999999999996</c:v>
                </c:pt>
                <c:pt idx="19">
                  <c:v>4.5999999999999996</c:v>
                </c:pt>
                <c:pt idx="20">
                  <c:v>4.6500000000000004</c:v>
                </c:pt>
                <c:pt idx="21">
                  <c:v>4.67</c:v>
                </c:pt>
                <c:pt idx="22">
                  <c:v>4.68</c:v>
                </c:pt>
              </c:numCache>
            </c:numRef>
          </c:xVal>
          <c:yVal>
            <c:numRef>
              <c:f>Propu!$B$4:$X$4</c:f>
              <c:numCache>
                <c:formatCode>General</c:formatCode>
                <c:ptCount val="23"/>
                <c:pt idx="0">
                  <c:v>27</c:v>
                </c:pt>
                <c:pt idx="1">
                  <c:v>402.4</c:v>
                </c:pt>
                <c:pt idx="2">
                  <c:v>1286</c:v>
                </c:pt>
                <c:pt idx="3">
                  <c:v>1257</c:v>
                </c:pt>
                <c:pt idx="4">
                  <c:v>1042</c:v>
                </c:pt>
                <c:pt idx="5">
                  <c:v>1027</c:v>
                </c:pt>
                <c:pt idx="6">
                  <c:v>998.4</c:v>
                </c:pt>
                <c:pt idx="7">
                  <c:v>901.4</c:v>
                </c:pt>
                <c:pt idx="8">
                  <c:v>849.6</c:v>
                </c:pt>
                <c:pt idx="9">
                  <c:v>763.5</c:v>
                </c:pt>
                <c:pt idx="10">
                  <c:v>707.1</c:v>
                </c:pt>
                <c:pt idx="11">
                  <c:v>655.1</c:v>
                </c:pt>
                <c:pt idx="12">
                  <c:v>651.70000000000005</c:v>
                </c:pt>
                <c:pt idx="13">
                  <c:v>624.1</c:v>
                </c:pt>
                <c:pt idx="14">
                  <c:v>601.29999999999995</c:v>
                </c:pt>
                <c:pt idx="15">
                  <c:v>536.20000000000005</c:v>
                </c:pt>
                <c:pt idx="16">
                  <c:v>415.7</c:v>
                </c:pt>
                <c:pt idx="17">
                  <c:v>270.2</c:v>
                </c:pt>
                <c:pt idx="18">
                  <c:v>140.19999999999999</c:v>
                </c:pt>
                <c:pt idx="19">
                  <c:v>76.900000000000006</c:v>
                </c:pt>
                <c:pt idx="20">
                  <c:v>54.9</c:v>
                </c:pt>
                <c:pt idx="21">
                  <c:v>40.200000000000003</c:v>
                </c:pt>
                <c:pt idx="22">
                  <c:v>0</c:v>
                </c:pt>
              </c:numCache>
            </c:numRef>
          </c:yVal>
          <c:smooth val="0"/>
          <c:extLst>
            <c:ext xmlns:c16="http://schemas.microsoft.com/office/drawing/2014/chart" uri="{C3380CC4-5D6E-409C-BE32-E72D297353CC}">
              <c16:uniqueId val="{00000000-11ED-44DF-887D-194E91E3F465}"/>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2" inc="25" max="30000" noThreeD="1" page="10" val="250"/>
</file>

<file path=xl/ctrlProps/ctrlProp10.xml><?xml version="1.0" encoding="utf-8"?>
<formControlPr xmlns="http://schemas.microsoft.com/office/spreadsheetml/2009/9/main" objectType="Spin" dx="15" fmlaLink="$C$32" max="6" min="3" noThreeD="1" page="10" val="4"/>
</file>

<file path=xl/ctrlProps/ctrlProp11.xml><?xml version="1.0" encoding="utf-8"?>
<formControlPr xmlns="http://schemas.microsoft.com/office/spreadsheetml/2009/9/main" objectType="Spin" dx="15" fmlaLink="$C$13" inc="50" max="30000" noThreeD="1" page="10" val="1755"/>
</file>

<file path=xl/ctrlProps/ctrlProp12.xml><?xml version="1.0" encoding="utf-8"?>
<formControlPr xmlns="http://schemas.microsoft.com/office/spreadsheetml/2009/9/main" objectType="Spin" dx="15" fmlaLink="$C$11" inc="100" max="30000" noThreeD="1" page="10" val="14283"/>
</file>

<file path=xl/ctrlProps/ctrlProp13.xml><?xml version="1.0" encoding="utf-8"?>
<formControlPr xmlns="http://schemas.microsoft.com/office/spreadsheetml/2009/9/main" objectType="Spin" dx="15" fmlaLink="$C$11" inc="100" max="30000" noThreeD="1" page="10" val="14283"/>
</file>

<file path=xl/ctrlProps/ctrlProp14.xml><?xml version="1.0" encoding="utf-8"?>
<formControlPr xmlns="http://schemas.microsoft.com/office/spreadsheetml/2009/9/main" objectType="Spin" dx="15" fmlaLink="Stabilito!C11" inc="100" max="30000" noThreeD="1" page="10" val="14283"/>
</file>

<file path=xl/ctrlProps/ctrlProp15.xml><?xml version="1.0" encoding="utf-8"?>
<formControlPr xmlns="http://schemas.microsoft.com/office/spreadsheetml/2009/9/main" objectType="Spin" dx="15" fmlaLink="$B$43" inc="50" max="30000" noThreeD="1" page="10" val="400"/>
</file>

<file path=xl/ctrlProps/ctrlProp16.xml><?xml version="1.0" encoding="utf-8"?>
<formControlPr xmlns="http://schemas.microsoft.com/office/spreadsheetml/2009/9/main" objectType="Spin" dx="15" fmlaLink="$B$45" inc="50" max="30000" noThreeD="1" page="10" val="300"/>
</file>

<file path=xl/ctrlProps/ctrlProp17.xml><?xml version="1.0" encoding="utf-8"?>
<formControlPr xmlns="http://schemas.microsoft.com/office/spreadsheetml/2009/9/main" objectType="Spin" dx="15" fmlaLink="$B$51" inc="50" max="30000" noThreeD="1" page="10" val="1000"/>
</file>

<file path=xl/ctrlProps/ctrlProp18.xml><?xml version="1.0" encoding="utf-8"?>
<formControlPr xmlns="http://schemas.microsoft.com/office/spreadsheetml/2009/9/main" objectType="Spin" dx="15" fmlaLink="$B$53" inc="5" max="30000" noThreeD="1" page="10" val="100"/>
</file>

<file path=xl/ctrlProps/ctrlProp19.xml><?xml version="1.0" encoding="utf-8"?>
<formControlPr xmlns="http://schemas.microsoft.com/office/spreadsheetml/2009/9/main" objectType="Spin" dx="15" fmlaLink="Stabilito!C11" inc="100" max="30000" noThreeD="1" page="10" val="14283"/>
</file>

<file path=xl/ctrlProps/ctrlProp2.xml><?xml version="1.0" encoding="utf-8"?>
<formControlPr xmlns="http://schemas.microsoft.com/office/spreadsheetml/2009/9/main" objectType="Spin" dx="15" fmlaLink="$C$11" inc="100" max="30000" noThreeD="1" page="10" val="14283"/>
</file>

<file path=xl/ctrlProps/ctrlProp20.xml><?xml version="1.0" encoding="utf-8"?>
<formControlPr xmlns="http://schemas.microsoft.com/office/spreadsheetml/2009/9/main" objectType="Spin" dx="15" fmlaLink="Stabilito!C11" inc="100" max="30000" noThreeD="1" page="10" val="14283"/>
</file>

<file path=xl/ctrlProps/ctrlProp3.xml><?xml version="1.0" encoding="utf-8"?>
<formControlPr xmlns="http://schemas.microsoft.com/office/spreadsheetml/2009/9/main" objectType="Spin" dx="15" fmlaLink="$C$12" inc="50" max="30000" noThreeD="1" page="10" val="1120"/>
</file>

<file path=xl/ctrlProps/ctrlProp4.xml><?xml version="1.0" encoding="utf-8"?>
<formControlPr xmlns="http://schemas.microsoft.com/office/spreadsheetml/2009/9/main" objectType="Spin" dx="15" fmlaLink="$C$23" inc="20" max="30000" noThreeD="1" page="10" val="100"/>
</file>

<file path=xl/ctrlProps/ctrlProp5.xml><?xml version="1.0" encoding="utf-8"?>
<formControlPr xmlns="http://schemas.microsoft.com/office/spreadsheetml/2009/9/main" objectType="Spin" dx="15" fmlaLink="$C$27" inc="10" max="30000" noThreeD="1" page="10" val="250"/>
</file>

<file path=xl/ctrlProps/ctrlProp6.xml><?xml version="1.0" encoding="utf-8"?>
<formControlPr xmlns="http://schemas.microsoft.com/office/spreadsheetml/2009/9/main" objectType="Spin" dx="15" fmlaLink="$C$28" inc="10" max="30000" noThreeD="1" page="10" val="120"/>
</file>

<file path=xl/ctrlProps/ctrlProp7.xml><?xml version="1.0" encoding="utf-8"?>
<formControlPr xmlns="http://schemas.microsoft.com/office/spreadsheetml/2009/9/main" objectType="Spin" dx="15" fmlaLink="$C$29" inc="10" max="30000" noThreeD="1" page="10" val="200"/>
</file>

<file path=xl/ctrlProps/ctrlProp8.xml><?xml version="1.0" encoding="utf-8"?>
<formControlPr xmlns="http://schemas.microsoft.com/office/spreadsheetml/2009/9/main" objectType="Spin" dx="15" fmlaLink="$C$30" inc="10" max="30000" noThreeD="1" page="10" val="160"/>
</file>

<file path=xl/ctrlProps/ctrlProp9.xml><?xml version="1.0" encoding="utf-8"?>
<formControlPr xmlns="http://schemas.microsoft.com/office/spreadsheetml/2009/9/main" objectType="Spin" dx="15" fmlaLink="$C$31" max="30000" noThreeD="1" page="10" val="2"/>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592060" y="185420"/>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984250</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37</xdr:row>
      <xdr:rowOff>0</xdr:rowOff>
    </xdr:from>
    <xdr:to>
      <xdr:col>2</xdr:col>
      <xdr:colOff>850900</xdr:colOff>
      <xdr:row>48</xdr:row>
      <xdr:rowOff>69850</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565150</xdr:colOff>
      <xdr:row>9</xdr:row>
      <xdr:rowOff>12700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891540</xdr:colOff>
          <xdr:row>21</xdr:row>
          <xdr:rowOff>15240</xdr:rowOff>
        </xdr:from>
        <xdr:to>
          <xdr:col>4</xdr:col>
          <xdr:colOff>0</xdr:colOff>
          <xdr:row>22</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10</xdr:row>
          <xdr:rowOff>15240</xdr:rowOff>
        </xdr:from>
        <xdr:to>
          <xdr:col>3</xdr:col>
          <xdr:colOff>0</xdr:colOff>
          <xdr:row>11</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11</xdr:row>
          <xdr:rowOff>15240</xdr:rowOff>
        </xdr:from>
        <xdr:to>
          <xdr:col>3</xdr:col>
          <xdr:colOff>0</xdr:colOff>
          <xdr:row>12</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891540</xdr:colOff>
          <xdr:row>22</xdr:row>
          <xdr:rowOff>15240</xdr:rowOff>
        </xdr:from>
        <xdr:to>
          <xdr:col>4</xdr:col>
          <xdr:colOff>0</xdr:colOff>
          <xdr:row>23</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26</xdr:row>
          <xdr:rowOff>15240</xdr:rowOff>
        </xdr:from>
        <xdr:to>
          <xdr:col>3</xdr:col>
          <xdr:colOff>0</xdr:colOff>
          <xdr:row>27</xdr:row>
          <xdr:rowOff>0</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27</xdr:row>
          <xdr:rowOff>15240</xdr:rowOff>
        </xdr:from>
        <xdr:to>
          <xdr:col>3</xdr:col>
          <xdr:colOff>0</xdr:colOff>
          <xdr:row>28</xdr:row>
          <xdr:rowOff>0</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28</xdr:row>
          <xdr:rowOff>15240</xdr:rowOff>
        </xdr:from>
        <xdr:to>
          <xdr:col>3</xdr:col>
          <xdr:colOff>0</xdr:colOff>
          <xdr:row>29</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29</xdr:row>
          <xdr:rowOff>15240</xdr:rowOff>
        </xdr:from>
        <xdr:to>
          <xdr:col>3</xdr:col>
          <xdr:colOff>0</xdr:colOff>
          <xdr:row>30</xdr:row>
          <xdr:rowOff>0</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30</xdr:row>
          <xdr:rowOff>15240</xdr:rowOff>
        </xdr:from>
        <xdr:to>
          <xdr:col>3</xdr:col>
          <xdr:colOff>0</xdr:colOff>
          <xdr:row>31</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31</xdr:row>
          <xdr:rowOff>15240</xdr:rowOff>
        </xdr:from>
        <xdr:to>
          <xdr:col>3</xdr:col>
          <xdr:colOff>0</xdr:colOff>
          <xdr:row>32</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891540</xdr:colOff>
          <xdr:row>12</xdr:row>
          <xdr:rowOff>15240</xdr:rowOff>
        </xdr:from>
        <xdr:to>
          <xdr:col>4</xdr:col>
          <xdr:colOff>0</xdr:colOff>
          <xdr:row>13</xdr:row>
          <xdr:rowOff>0</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15240</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15240</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9</xdr:col>
      <xdr:colOff>0</xdr:colOff>
      <xdr:row>20</xdr:row>
      <xdr:rowOff>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20</xdr:row>
      <xdr:rowOff>0</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984250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139700</xdr:colOff>
      <xdr:row>38</xdr:row>
      <xdr:rowOff>120650</xdr:rowOff>
    </xdr:from>
    <xdr:to>
      <xdr:col>3</xdr:col>
      <xdr:colOff>723900</xdr:colOff>
      <xdr:row>46</xdr:row>
      <xdr:rowOff>0</xdr:rowOff>
    </xdr:to>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04620" y="6353810"/>
          <a:ext cx="1361440" cy="1220470"/>
          <a:chOff x="1362075" y="6410325"/>
          <a:chExt cx="1319468"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62415" y="7296150"/>
            <a:ext cx="35118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3672"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5400000">
            <a:off x="1838363" y="6388995"/>
            <a:ext cx="482283"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3672" y="6744970"/>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12198" y="6744970"/>
            <a:ext cx="0" cy="482283"/>
          </a:xfrm>
          <a:prstGeom prst="line">
            <a:avLst/>
          </a:prstGeom>
          <a:noFill/>
          <a:ln w="9525">
            <a:solidFill>
              <a:srgbClr val="000000"/>
            </a:solidFill>
            <a:round/>
            <a:headEnd/>
            <a:tailEnd/>
          </a:ln>
        </xdr:spPr>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5" y="6744970"/>
            <a:ext cx="0" cy="482283"/>
          </a:xfrm>
          <a:prstGeom prst="line">
            <a:avLst/>
          </a:prstGeom>
          <a:noFill/>
          <a:ln w="9525">
            <a:solidFill>
              <a:srgbClr val="000000"/>
            </a:solidFill>
            <a:round/>
            <a:headEnd type="triangle" w="med" len="med"/>
            <a:tailEnd type="triangle" w="med" len="med"/>
          </a:ln>
        </xdr:spPr>
      </xdr:sp>
    </xdr:grpSp>
    <xdr:clientData/>
  </xdr:twoCellAnchor>
  <xdr:twoCellAnchor>
    <xdr:from>
      <xdr:col>2</xdr:col>
      <xdr:colOff>260350</xdr:colOff>
      <xdr:row>49</xdr:row>
      <xdr:rowOff>19050</xdr:rowOff>
    </xdr:from>
    <xdr:to>
      <xdr:col>3</xdr:col>
      <xdr:colOff>514350</xdr:colOff>
      <xdr:row>54</xdr:row>
      <xdr:rowOff>120650</xdr:rowOff>
    </xdr:to>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9400" y="7981950"/>
          <a:ext cx="1047750" cy="927100"/>
        </a:xfrm>
        <a:prstGeom prst="ellipse">
          <a:avLst/>
        </a:prstGeom>
        <a:solidFill>
          <a:srgbClr val="F2F2F2"/>
        </a:solidFill>
        <a:ln w="9525">
          <a:solidFill>
            <a:srgbClr val="000000"/>
          </a:solidFill>
          <a:round/>
          <a:headEnd/>
          <a:tailEnd/>
        </a:ln>
      </xdr:spPr>
    </xdr:sp>
    <xdr:clientData/>
  </xdr:twoCellAnchor>
  <xdr:twoCellAnchor>
    <xdr:from>
      <xdr:col>2</xdr:col>
      <xdr:colOff>698500</xdr:colOff>
      <xdr:row>51</xdr:row>
      <xdr:rowOff>57150</xdr:rowOff>
    </xdr:from>
    <xdr:to>
      <xdr:col>3</xdr:col>
      <xdr:colOff>88900</xdr:colOff>
      <xdr:row>52</xdr:row>
      <xdr:rowOff>76200</xdr:rowOff>
    </xdr:to>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87550" y="8350250"/>
          <a:ext cx="184150" cy="184150"/>
        </a:xfrm>
        <a:prstGeom prst="ellipse">
          <a:avLst/>
        </a:prstGeom>
        <a:solidFill>
          <a:srgbClr val="FFFFFF"/>
        </a:solidFill>
        <a:ln w="9525">
          <a:solidFill>
            <a:srgbClr val="000000"/>
          </a:solidFill>
          <a:round/>
          <a:headEnd/>
          <a:tailEnd/>
        </a:ln>
      </xdr:spPr>
    </xdr:sp>
    <xdr:clientData/>
  </xdr:twoCellAnchor>
  <xdr:twoCellAnchor>
    <xdr:from>
      <xdr:col>3</xdr:col>
      <xdr:colOff>0</xdr:colOff>
      <xdr:row>49</xdr:row>
      <xdr:rowOff>19050</xdr:rowOff>
    </xdr:from>
    <xdr:to>
      <xdr:col>3</xdr:col>
      <xdr:colOff>0</xdr:colOff>
      <xdr:row>51</xdr:row>
      <xdr:rowOff>146050</xdr:rowOff>
    </xdr:to>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2800" y="7981950"/>
          <a:ext cx="0" cy="457200"/>
        </a:xfrm>
        <a:prstGeom prst="line">
          <a:avLst/>
        </a:prstGeom>
        <a:noFill/>
        <a:ln w="9525">
          <a:solidFill>
            <a:srgbClr val="000000"/>
          </a:solidFill>
          <a:round/>
          <a:headEnd type="triangle" w="med" len="med"/>
          <a:tailEnd type="triangle" w="med" len="med"/>
        </a:ln>
      </xdr:spPr>
    </xdr:sp>
    <xdr:clientData/>
  </xdr:twoCellAnchor>
  <xdr:twoCellAnchor>
    <xdr:from>
      <xdr:col>3</xdr:col>
      <xdr:colOff>0</xdr:colOff>
      <xdr:row>51</xdr:row>
      <xdr:rowOff>146050</xdr:rowOff>
    </xdr:from>
    <xdr:to>
      <xdr:col>3</xdr:col>
      <xdr:colOff>0</xdr:colOff>
      <xdr:row>52</xdr:row>
      <xdr:rowOff>88900</xdr:rowOff>
    </xdr:to>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flipH="1">
          <a:off x="2082800" y="8439150"/>
          <a:ext cx="0" cy="107950"/>
        </a:xfrm>
        <a:prstGeom prst="line">
          <a:avLst/>
        </a:prstGeom>
        <a:noFill/>
        <a:ln w="9525">
          <a:solidFill>
            <a:srgbClr val="000000"/>
          </a:solidFill>
          <a:round/>
          <a:headEnd type="triangle" w="sm" len="sm"/>
          <a:tailEnd type="triangle" w="sm" len="sm"/>
        </a:ln>
      </xdr:spPr>
    </xdr:sp>
    <xdr:clientData/>
  </xdr:twoCellAnchor>
  <mc:AlternateContent xmlns:mc="http://schemas.openxmlformats.org/markup-compatibility/2006">
    <mc:Choice xmlns:a14="http://schemas.microsoft.com/office/drawing/2010/main" Requires="a14">
      <xdr:twoCellAnchor>
        <xdr:from>
          <xdr:col>3</xdr:col>
          <xdr:colOff>769620</xdr:colOff>
          <xdr:row>9</xdr:row>
          <xdr:rowOff>15240</xdr:rowOff>
        </xdr:from>
        <xdr:to>
          <xdr:col>4</xdr:col>
          <xdr:colOff>0</xdr:colOff>
          <xdr:row>10</xdr:row>
          <xdr:rowOff>0</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42</xdr:row>
          <xdr:rowOff>15240</xdr:rowOff>
        </xdr:from>
        <xdr:to>
          <xdr:col>2</xdr:col>
          <xdr:colOff>0</xdr:colOff>
          <xdr:row>43</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44</xdr:row>
          <xdr:rowOff>15240</xdr:rowOff>
        </xdr:from>
        <xdr:to>
          <xdr:col>2</xdr:col>
          <xdr:colOff>0</xdr:colOff>
          <xdr:row>45</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50</xdr:row>
          <xdr:rowOff>15240</xdr:rowOff>
        </xdr:from>
        <xdr:to>
          <xdr:col>2</xdr:col>
          <xdr:colOff>0</xdr:colOff>
          <xdr:row>51</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93</xdr:row>
          <xdr:rowOff>76200</xdr:rowOff>
        </xdr:from>
        <xdr:to>
          <xdr:col>4</xdr:col>
          <xdr:colOff>68580</xdr:colOff>
          <xdr:row>99</xdr:row>
          <xdr:rowOff>91440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52</xdr:row>
          <xdr:rowOff>15240</xdr:rowOff>
        </xdr:from>
        <xdr:to>
          <xdr:col>2</xdr:col>
          <xdr:colOff>0</xdr:colOff>
          <xdr:row>53</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15240</xdr:colOff>
          <xdr:row>1010</xdr:row>
          <xdr:rowOff>99060</xdr:rowOff>
        </xdr:from>
        <xdr:to>
          <xdr:col>20</xdr:col>
          <xdr:colOff>289560</xdr:colOff>
          <xdr:row>1013</xdr:row>
          <xdr:rowOff>22860</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22860</xdr:colOff>
          <xdr:row>1024</xdr:row>
          <xdr:rowOff>160020</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251460</xdr:colOff>
          <xdr:row>1006</xdr:row>
          <xdr:rowOff>22860</xdr:rowOff>
        </xdr:from>
        <xdr:to>
          <xdr:col>24</xdr:col>
          <xdr:colOff>152400</xdr:colOff>
          <xdr:row>1007</xdr:row>
          <xdr:rowOff>99060</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1017</xdr:row>
          <xdr:rowOff>167640</xdr:rowOff>
        </xdr:from>
        <xdr:to>
          <xdr:col>10</xdr:col>
          <xdr:colOff>586740</xdr:colOff>
          <xdr:row>1019</xdr:row>
          <xdr:rowOff>137160</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1014</xdr:row>
          <xdr:rowOff>175260</xdr:rowOff>
        </xdr:from>
        <xdr:to>
          <xdr:col>11</xdr:col>
          <xdr:colOff>266700</xdr:colOff>
          <xdr:row>1016</xdr:row>
          <xdr:rowOff>68580</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1016</xdr:row>
          <xdr:rowOff>76200</xdr:rowOff>
        </xdr:from>
        <xdr:to>
          <xdr:col>11</xdr:col>
          <xdr:colOff>236220</xdr:colOff>
          <xdr:row>1017</xdr:row>
          <xdr:rowOff>160020</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68580</xdr:rowOff>
        </xdr:from>
        <xdr:to>
          <xdr:col>17</xdr:col>
          <xdr:colOff>274320</xdr:colOff>
          <xdr:row>1024</xdr:row>
          <xdr:rowOff>167640</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236220</xdr:colOff>
          <xdr:row>1010</xdr:row>
          <xdr:rowOff>91440</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99060</xdr:rowOff>
        </xdr:from>
        <xdr:to>
          <xdr:col>12</xdr:col>
          <xdr:colOff>243840</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1006</xdr:row>
          <xdr:rowOff>99060</xdr:rowOff>
        </xdr:from>
        <xdr:to>
          <xdr:col>3</xdr:col>
          <xdr:colOff>541020</xdr:colOff>
          <xdr:row>1007</xdr:row>
          <xdr:rowOff>175260</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175260</xdr:rowOff>
        </xdr:from>
        <xdr:to>
          <xdr:col>16</xdr:col>
          <xdr:colOff>0</xdr:colOff>
          <xdr:row>1026</xdr:row>
          <xdr:rowOff>144780</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xdr:colOff>
          <xdr:row>1013</xdr:row>
          <xdr:rowOff>30480</xdr:rowOff>
        </xdr:from>
        <xdr:to>
          <xdr:col>21</xdr:col>
          <xdr:colOff>22860</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1005</xdr:row>
          <xdr:rowOff>15240</xdr:rowOff>
        </xdr:from>
        <xdr:to>
          <xdr:col>10</xdr:col>
          <xdr:colOff>403860</xdr:colOff>
          <xdr:row>1006</xdr:row>
          <xdr:rowOff>91440</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15240</xdr:rowOff>
        </xdr:from>
        <xdr:to>
          <xdr:col>8</xdr:col>
          <xdr:colOff>190500</xdr:colOff>
          <xdr:row>1014</xdr:row>
          <xdr:rowOff>167640</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15240</xdr:colOff>
          <xdr:row>1018</xdr:row>
          <xdr:rowOff>53340</xdr:rowOff>
        </xdr:from>
        <xdr:to>
          <xdr:col>24</xdr:col>
          <xdr:colOff>1082040</xdr:colOff>
          <xdr:row>1019</xdr:row>
          <xdr:rowOff>137160</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144780</xdr:rowOff>
        </xdr:from>
        <xdr:to>
          <xdr:col>20</xdr:col>
          <xdr:colOff>579120</xdr:colOff>
          <xdr:row>1022</xdr:row>
          <xdr:rowOff>53340</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53340</xdr:rowOff>
        </xdr:from>
        <xdr:to>
          <xdr:col>19</xdr:col>
          <xdr:colOff>182880</xdr:colOff>
          <xdr:row>1019</xdr:row>
          <xdr:rowOff>137160</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15240</xdr:colOff>
          <xdr:row>1007</xdr:row>
          <xdr:rowOff>121920</xdr:rowOff>
        </xdr:from>
        <xdr:to>
          <xdr:col>37</xdr:col>
          <xdr:colOff>281940</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15240</xdr:colOff>
          <xdr:row>1010</xdr:row>
          <xdr:rowOff>91440</xdr:rowOff>
        </xdr:from>
        <xdr:to>
          <xdr:col>35</xdr:col>
          <xdr:colOff>723900</xdr:colOff>
          <xdr:row>1013</xdr:row>
          <xdr:rowOff>45720</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22860</xdr:rowOff>
        </xdr:from>
        <xdr:to>
          <xdr:col>11</xdr:col>
          <xdr:colOff>556260</xdr:colOff>
          <xdr:row>1038</xdr:row>
          <xdr:rowOff>22860</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22860</xdr:rowOff>
        </xdr:from>
        <xdr:to>
          <xdr:col>12</xdr:col>
          <xdr:colOff>30480</xdr:colOff>
          <xdr:row>1043</xdr:row>
          <xdr:rowOff>22860</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xdr:colOff>
          <xdr:row>1014</xdr:row>
          <xdr:rowOff>121920</xdr:rowOff>
        </xdr:from>
        <xdr:to>
          <xdr:col>20</xdr:col>
          <xdr:colOff>335280</xdr:colOff>
          <xdr:row>1016</xdr:row>
          <xdr:rowOff>15240</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251460</xdr:colOff>
          <xdr:row>1007</xdr:row>
          <xdr:rowOff>114300</xdr:rowOff>
        </xdr:from>
        <xdr:to>
          <xdr:col>32</xdr:col>
          <xdr:colOff>167640</xdr:colOff>
          <xdr:row>1010</xdr:row>
          <xdr:rowOff>91440</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30480</xdr:rowOff>
        </xdr:from>
        <xdr:to>
          <xdr:col>12</xdr:col>
          <xdr:colOff>335280</xdr:colOff>
          <xdr:row>1058</xdr:row>
          <xdr:rowOff>53340</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30480</xdr:rowOff>
        </xdr:from>
        <xdr:to>
          <xdr:col>15</xdr:col>
          <xdr:colOff>53340</xdr:colOff>
          <xdr:row>1063</xdr:row>
          <xdr:rowOff>53340</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30480</xdr:rowOff>
        </xdr:from>
        <xdr:to>
          <xdr:col>16</xdr:col>
          <xdr:colOff>670560</xdr:colOff>
          <xdr:row>1068</xdr:row>
          <xdr:rowOff>53340</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30480</xdr:rowOff>
        </xdr:from>
        <xdr:to>
          <xdr:col>16</xdr:col>
          <xdr:colOff>106680</xdr:colOff>
          <xdr:row>1048</xdr:row>
          <xdr:rowOff>30480</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30480</xdr:rowOff>
        </xdr:from>
        <xdr:to>
          <xdr:col>16</xdr:col>
          <xdr:colOff>388620</xdr:colOff>
          <xdr:row>1053</xdr:row>
          <xdr:rowOff>53340</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30480</xdr:rowOff>
        </xdr:from>
        <xdr:to>
          <xdr:col>12</xdr:col>
          <xdr:colOff>411480</xdr:colOff>
          <xdr:row>1073</xdr:row>
          <xdr:rowOff>53340</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30480</xdr:rowOff>
        </xdr:from>
        <xdr:to>
          <xdr:col>32</xdr:col>
          <xdr:colOff>419100</xdr:colOff>
          <xdr:row>1056</xdr:row>
          <xdr:rowOff>30480</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22860</xdr:colOff>
          <xdr:row>1022</xdr:row>
          <xdr:rowOff>53340</xdr:rowOff>
        </xdr:from>
        <xdr:to>
          <xdr:col>32</xdr:col>
          <xdr:colOff>266700</xdr:colOff>
          <xdr:row>1024</xdr:row>
          <xdr:rowOff>137160</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22860</xdr:rowOff>
        </xdr:from>
        <xdr:to>
          <xdr:col>36</xdr:col>
          <xdr:colOff>167640</xdr:colOff>
          <xdr:row>1020</xdr:row>
          <xdr:rowOff>22860</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701040</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45720</xdr:rowOff>
        </xdr:from>
        <xdr:to>
          <xdr:col>35</xdr:col>
          <xdr:colOff>137160</xdr:colOff>
          <xdr:row>1023</xdr:row>
          <xdr:rowOff>45720</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68580</xdr:rowOff>
        </xdr:from>
        <xdr:to>
          <xdr:col>36</xdr:col>
          <xdr:colOff>53340</xdr:colOff>
          <xdr:row>1026</xdr:row>
          <xdr:rowOff>68580</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30480</xdr:rowOff>
        </xdr:from>
        <xdr:to>
          <xdr:col>34</xdr:col>
          <xdr:colOff>350520</xdr:colOff>
          <xdr:row>1051</xdr:row>
          <xdr:rowOff>91440</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17</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17</xdr:row>
      <xdr:rowOff>25400</xdr:rowOff>
    </xdr:from>
    <xdr:to>
      <xdr:col>12</xdr:col>
      <xdr:colOff>450850</xdr:colOff>
      <xdr:row>34</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17</xdr:row>
      <xdr:rowOff>25400</xdr:rowOff>
    </xdr:from>
    <xdr:to>
      <xdr:col>6</xdr:col>
      <xdr:colOff>450850</xdr:colOff>
      <xdr:row>34</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769620</xdr:colOff>
          <xdr:row>9</xdr:row>
          <xdr:rowOff>15240</xdr:rowOff>
        </xdr:from>
        <xdr:to>
          <xdr:col>4</xdr:col>
          <xdr:colOff>0</xdr:colOff>
          <xdr:row>10</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388620</xdr:colOff>
          <xdr:row>68</xdr:row>
          <xdr:rowOff>22860</xdr:rowOff>
        </xdr:from>
        <xdr:to>
          <xdr:col>12</xdr:col>
          <xdr:colOff>899160</xdr:colOff>
          <xdr:row>85</xdr:row>
          <xdr:rowOff>15240</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769620</xdr:colOff>
          <xdr:row>10</xdr:row>
          <xdr:rowOff>15240</xdr:rowOff>
        </xdr:from>
        <xdr:to>
          <xdr:col>4</xdr:col>
          <xdr:colOff>0</xdr:colOff>
          <xdr:row>11</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12700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53</xdr:row>
      <xdr:rowOff>44450</xdr:rowOff>
    </xdr:from>
    <xdr:to>
      <xdr:col>10</xdr:col>
      <xdr:colOff>609600</xdr:colOff>
      <xdr:row>81</xdr:row>
      <xdr:rowOff>25400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984250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283710" y="13614400"/>
          <a:ext cx="2223770" cy="385953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3427710" y="187960"/>
          <a:ext cx="2155190" cy="5262880"/>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topLeftCell="A20" zoomScaleNormal="100" zoomScaleSheetLayoutView="100" workbookViewId="0">
      <selection activeCell="C13" sqref="C13:D13"/>
    </sheetView>
  </sheetViews>
  <sheetFormatPr baseColWidth="10" defaultColWidth="11.33203125" defaultRowHeight="13.2" x14ac:dyDescent="0.25"/>
  <cols>
    <col min="1" max="1" width="2.21875" style="24" customWidth="1"/>
    <col min="2" max="2" width="16.21875" style="24" customWidth="1"/>
    <col min="3" max="3" width="12.77734375" style="31" customWidth="1"/>
    <col min="4" max="4" width="12.77734375" style="24" customWidth="1"/>
    <col min="5" max="5" width="4.21875" style="89" customWidth="1"/>
    <col min="6" max="6" width="10.21875" style="26" bestFit="1" customWidth="1"/>
    <col min="7" max="7" width="10" style="26" bestFit="1" customWidth="1"/>
    <col min="8" max="9" width="8.6640625" style="26" customWidth="1"/>
    <col min="10" max="10" width="5.33203125" style="24" customWidth="1"/>
    <col min="11" max="11" width="2.21875" style="24" customWidth="1"/>
    <col min="12" max="12" width="17" style="24" customWidth="1"/>
    <col min="13" max="13" width="8.6640625" style="24" customWidth="1"/>
    <col min="14" max="15" width="4.21875" style="24" customWidth="1"/>
    <col min="16" max="16" width="8.6640625" style="24" customWidth="1"/>
    <col min="17" max="18" width="2.21875" style="24" customWidth="1"/>
    <col min="19" max="16384" width="11.33203125" style="24"/>
  </cols>
  <sheetData>
    <row r="1" spans="1:20" ht="12.75" customHeight="1" x14ac:dyDescent="0.25">
      <c r="A1" s="19"/>
      <c r="B1" s="20"/>
      <c r="C1" s="21"/>
      <c r="D1" s="20"/>
      <c r="E1" s="88"/>
      <c r="F1" s="22"/>
      <c r="G1" s="22"/>
      <c r="H1" s="22"/>
      <c r="I1" s="22"/>
      <c r="J1" s="20"/>
      <c r="K1" s="20"/>
      <c r="L1" s="20"/>
      <c r="M1" s="20"/>
      <c r="N1" s="20"/>
      <c r="O1" s="20"/>
      <c r="P1" s="20"/>
      <c r="Q1" s="23"/>
    </row>
    <row r="2" spans="1:20" ht="12.75" customHeight="1" x14ac:dyDescent="0.25">
      <c r="A2" s="25"/>
      <c r="C2" s="553" t="s">
        <v>54</v>
      </c>
      <c r="D2" s="553"/>
      <c r="L2" s="147" t="str">
        <f>"Language/Langue"</f>
        <v>Language/Langue</v>
      </c>
      <c r="M2" s="578" t="s">
        <v>1</v>
      </c>
      <c r="N2" s="578"/>
      <c r="O2" s="578"/>
      <c r="P2" s="579"/>
      <c r="Q2" s="27"/>
    </row>
    <row r="3" spans="1:20" ht="12.75" customHeight="1" x14ac:dyDescent="0.25">
      <c r="A3" s="25"/>
      <c r="C3" s="553"/>
      <c r="D3" s="553"/>
      <c r="L3" s="586"/>
      <c r="M3" s="586"/>
      <c r="N3" s="45"/>
      <c r="Q3" s="27"/>
    </row>
    <row r="4" spans="1:20" ht="12.75" customHeight="1" x14ac:dyDescent="0.25">
      <c r="A4" s="25"/>
      <c r="C4" s="554" t="str">
        <f>IF(Lang="Français","Stabilité de fusée à ailerons",IF(Lang="English","Stability for rocket with fins",""))</f>
        <v>Stabilité de fusée à ailerons</v>
      </c>
      <c r="D4" s="554"/>
      <c r="L4" s="33"/>
      <c r="M4" s="578" t="s">
        <v>552</v>
      </c>
      <c r="N4" s="578"/>
      <c r="O4" s="578"/>
      <c r="P4" s="579"/>
      <c r="Q4" s="27"/>
    </row>
    <row r="5" spans="1:20" ht="12.75" customHeight="1" x14ac:dyDescent="0.3">
      <c r="A5" s="25"/>
      <c r="B5" s="28"/>
      <c r="C5" s="535"/>
      <c r="D5" s="535"/>
      <c r="L5" s="33"/>
      <c r="M5" s="560" t="s">
        <v>157</v>
      </c>
      <c r="N5" s="561"/>
      <c r="O5" s="589" t="s">
        <v>158</v>
      </c>
      <c r="P5" s="589"/>
      <c r="Q5" s="29"/>
    </row>
    <row r="6" spans="1:20" ht="12.75" customHeight="1" thickBot="1" x14ac:dyDescent="0.3">
      <c r="A6" s="25"/>
      <c r="B6" s="87"/>
      <c r="C6" s="548" t="str">
        <f>IF(Lang="Français","Remplir les cases jaunes",IF(Lang="English","Fill-in yellow cells only",""))</f>
        <v>Remplir les cases jaunes</v>
      </c>
      <c r="D6" s="548"/>
      <c r="L6" s="139" t="str">
        <f>IF(Lang="Français","Longueur      'L'",IF(Lang="English","Length      'L'",""))</f>
        <v>Longueur      'L'</v>
      </c>
      <c r="M6" s="549">
        <v>50</v>
      </c>
      <c r="N6" s="550"/>
      <c r="O6" s="570">
        <v>50</v>
      </c>
      <c r="P6" s="570"/>
      <c r="Q6" s="29"/>
    </row>
    <row r="7" spans="1:20" ht="12.75" customHeight="1" thickTop="1" thickBot="1" x14ac:dyDescent="0.3">
      <c r="A7" s="25"/>
      <c r="B7" s="31"/>
      <c r="C7" s="556" t="str">
        <f>IF(Lang="Français","Fusée",IF(Lang="English","Rocket",""))</f>
        <v>Fusée</v>
      </c>
      <c r="D7" s="557"/>
      <c r="L7" s="139" t="str">
        <f>IF(Lang="Français","Diamètre     'D1'",IF(Lang="English","Diameter 'D1'",""))</f>
        <v>Diamètre     'D1'</v>
      </c>
      <c r="M7" s="549">
        <f>D_og</f>
        <v>100</v>
      </c>
      <c r="N7" s="550"/>
      <c r="O7" s="570">
        <f>D2j</f>
        <v>80</v>
      </c>
      <c r="P7" s="570"/>
      <c r="Q7" s="29"/>
    </row>
    <row r="8" spans="1:20" ht="12.75" customHeight="1" thickTop="1" x14ac:dyDescent="0.25">
      <c r="A8" s="25"/>
      <c r="B8" s="138" t="str">
        <f>IF(Lang="Français","Nom",IF(Lang="English","Name",""))</f>
        <v>Nom</v>
      </c>
      <c r="C8" s="551" t="s">
        <v>557</v>
      </c>
      <c r="D8" s="551"/>
      <c r="E8" s="90"/>
      <c r="K8" s="33"/>
      <c r="L8" s="139" t="str">
        <f>IF(Lang="Français","Diamètre     'D2'",IF(Lang="English","Diameter 'D2'",""))</f>
        <v>Diamètre     'D2'</v>
      </c>
      <c r="M8" s="549">
        <v>80</v>
      </c>
      <c r="N8" s="550"/>
      <c r="O8" s="570">
        <f>D_og</f>
        <v>100</v>
      </c>
      <c r="P8" s="570"/>
      <c r="Q8" s="29"/>
    </row>
    <row r="9" spans="1:20" ht="12.75" customHeight="1" x14ac:dyDescent="0.25">
      <c r="A9" s="25"/>
      <c r="B9" s="138" t="s">
        <v>4</v>
      </c>
      <c r="C9" s="552" t="s">
        <v>558</v>
      </c>
      <c r="D9" s="552"/>
      <c r="E9" s="90"/>
      <c r="K9" s="33"/>
      <c r="L9" s="139" t="str">
        <f>IF(Lang="Français","Implantation 'x'",IF(Lang="English","Basement 'x'",""))</f>
        <v>Implantation 'x'</v>
      </c>
      <c r="M9" s="549">
        <v>300</v>
      </c>
      <c r="N9" s="550"/>
      <c r="O9" s="570">
        <v>500</v>
      </c>
      <c r="P9" s="570"/>
      <c r="Q9" s="29"/>
    </row>
    <row r="10" spans="1:20" ht="12.75" customHeight="1" x14ac:dyDescent="0.25">
      <c r="A10" s="25"/>
      <c r="B10" s="139" t="s">
        <v>55</v>
      </c>
      <c r="C10" s="558" t="s">
        <v>559</v>
      </c>
      <c r="D10" s="559"/>
      <c r="E10" s="90"/>
      <c r="K10" s="33"/>
      <c r="Q10" s="29"/>
    </row>
    <row r="11" spans="1:20" ht="12.75" customHeight="1" x14ac:dyDescent="0.25">
      <c r="A11" s="25"/>
      <c r="B11" s="139" t="str">
        <f>IF(Lang="Français","Masse",IF(Lang="English","Weight",""))</f>
        <v>Masse</v>
      </c>
      <c r="C11" s="222">
        <v>14283</v>
      </c>
      <c r="D11" s="34" t="s">
        <v>560</v>
      </c>
      <c r="E11" s="90"/>
      <c r="K11" s="33"/>
      <c r="L11" s="107"/>
      <c r="M11" s="224" t="str">
        <f>IF(Lang="Français","Propu plein",IF(Lang="English","Loaded Motor",""))</f>
        <v>Propu plein</v>
      </c>
      <c r="N11" s="587" t="str">
        <f>IF(Lang="Français","Propu vide",IF(Lang="English","Empty Motor",""))</f>
        <v>Propu vide</v>
      </c>
      <c r="O11" s="588"/>
      <c r="P11" s="224" t="str">
        <f>IF(Lang="Français","Sans propu",IF(Lang="English","Without M",""))</f>
        <v>Sans propu</v>
      </c>
      <c r="Q11" s="29"/>
      <c r="S11" s="385"/>
      <c r="T11" s="386" t="str">
        <f>IF(Lang="Français","Propulseur",IF(Lang="English","Motor",""))</f>
        <v>Propulseur</v>
      </c>
    </row>
    <row r="12" spans="1:20" ht="12.75" customHeight="1" x14ac:dyDescent="0.25">
      <c r="A12" s="25"/>
      <c r="B12" s="139" t="str">
        <f>IF(Lang="Français","Centre de Masse",IF(Lang="English","Center of Mass",""))</f>
        <v>Centre de Masse</v>
      </c>
      <c r="C12" s="35">
        <v>1120</v>
      </c>
      <c r="D12" s="34" t="s">
        <v>425</v>
      </c>
      <c r="L12" s="108" t="str">
        <f>IF(Lang="Français","Masse propu",IF(Lang="English","Motor Mass",""))</f>
        <v>Masse propu</v>
      </c>
      <c r="M12" s="109">
        <f ca="1">MpropuPlein</f>
        <v>3.5110000000000001</v>
      </c>
      <c r="N12" s="582">
        <f ca="1">MpropuVide</f>
        <v>1.6379999999999999</v>
      </c>
      <c r="O12" s="583"/>
      <c r="P12" s="110" t="s">
        <v>14</v>
      </c>
      <c r="Q12" s="29"/>
      <c r="S12" s="386" t="str">
        <f>IF(Lang="Français","Haut",IF(Lang="English","Top",""))</f>
        <v>Haut</v>
      </c>
      <c r="T12" s="387">
        <f ca="1">XpropuRef-Long_propu</f>
        <v>1269</v>
      </c>
    </row>
    <row r="13" spans="1:20" ht="12.75" customHeight="1" x14ac:dyDescent="0.25">
      <c r="A13" s="25"/>
      <c r="B13" s="139" t="str">
        <f>IF(Lang="Français","Longueur totale",IF(Lang="English","Total length",""))</f>
        <v>Longueur totale</v>
      </c>
      <c r="C13" s="549">
        <v>1755</v>
      </c>
      <c r="D13" s="550"/>
      <c r="L13" s="108" t="str">
        <f>IF(Lang="Français","CdM propu",IF(Lang="English","Motor CoM",""))</f>
        <v>CdM propu</v>
      </c>
      <c r="M13" s="111">
        <f ca="1">XpropuPlein</f>
        <v>243</v>
      </c>
      <c r="N13" s="580">
        <f ca="1">XpropuVide</f>
        <v>243</v>
      </c>
      <c r="O13" s="581"/>
      <c r="P13" s="110" t="s">
        <v>14</v>
      </c>
      <c r="Q13" s="29"/>
      <c r="S13" s="386" t="str">
        <f>IF(Lang="Français","Longueur",IF(Lang="English","Length",""))</f>
        <v>Longueur</v>
      </c>
      <c r="T13" s="387">
        <f ca="1">Long_propu</f>
        <v>486</v>
      </c>
    </row>
    <row r="14" spans="1:20" ht="12.75" customHeight="1" x14ac:dyDescent="0.25">
      <c r="A14" s="25"/>
      <c r="B14" s="139" t="str">
        <f>IF(Lang="Français","Diamètre Réf.",IF(Lang="English","Ref. Diameter",""))</f>
        <v>Diamètre Réf.</v>
      </c>
      <c r="C14" s="549">
        <f>D_og</f>
        <v>100</v>
      </c>
      <c r="D14" s="550"/>
      <c r="L14" s="108" t="str">
        <f>IF(Lang="Français","Masse fusée",IF(Lang="English","Rocket Mass",""))</f>
        <v>Masse fusée</v>
      </c>
      <c r="M14" s="112">
        <f ca="1">MasseSans+MpropuPlein</f>
        <v>14.282999999999998</v>
      </c>
      <c r="N14" s="562">
        <f ca="1">MasseSans+MpropuVide</f>
        <v>12.409999999999998</v>
      </c>
      <c r="O14" s="563"/>
      <c r="P14" s="109">
        <f ca="1">IF(OR(D11="sans propu",D11="without motor"),C11/1000,IF(OR(D11="avec propu vide",D11="with empty motor"),C11/1000-MpropuVide,IF(OR(D11="avec propu plein",D11="with loaded motor"),C11/1000-MpropuPlein,"Erreur")))</f>
        <v>10.771999999999998</v>
      </c>
      <c r="Q14" s="29"/>
      <c r="S14" s="386" t="str">
        <f>IF(Lang="Français","Bas",IF(Lang="English","Base",""))</f>
        <v>Bas</v>
      </c>
      <c r="T14" s="387">
        <f>XpropuRef</f>
        <v>1755</v>
      </c>
    </row>
    <row r="15" spans="1:20" ht="12.75" customHeight="1" thickBot="1" x14ac:dyDescent="0.3">
      <c r="A15" s="25"/>
      <c r="D15" s="31"/>
      <c r="L15" s="175" t="str">
        <f>IF(Lang="Français","CdM fusée",IF(Lang="English","Rocket CoM",""))</f>
        <v>CdM fusée</v>
      </c>
      <c r="M15" s="176">
        <f ca="1">(XcgSans*MasseSans+(XpropuRef-Long_propu+XpropuPlein)*MpropuPlein)/MassePlein</f>
        <v>1216.3601484282015</v>
      </c>
      <c r="N15" s="564">
        <f ca="1">(XcgSans*MasseSans+(XpropuRef-Long_propu+XpropuVide)*MpropuVide)/MasseVide</f>
        <v>1171.740209508461</v>
      </c>
      <c r="O15" s="565"/>
      <c r="P15" s="113">
        <f>IF(OR(D12="sans propu",D12="without motor"),C12,IF(OR(D12="avec propu vide",D12="with empty motor"),(C12*MasseVide-(XpropuRef-Long_propu+XpropuVide)*MpropuVide)/MasseSans,IF(OR(D12="avec propu plein",D12="with loaded motor"),(C12*MassePlein-(XpropuRef-Long_propu+XpropuPlein)*MpropuPlein)/MasseSans,"Erreur")))</f>
        <v>1120</v>
      </c>
      <c r="Q15" s="29"/>
    </row>
    <row r="16" spans="1:20" ht="12.75" customHeight="1" thickTop="1" thickBot="1" x14ac:dyDescent="0.3">
      <c r="A16" s="25"/>
      <c r="C16" s="537" t="str">
        <f>IF(Lang="Français","Propulseur",IF(Lang="English","Motor",""))</f>
        <v>Propulseur</v>
      </c>
      <c r="D16" s="538"/>
      <c r="L16" s="94"/>
      <c r="M16" s="94"/>
      <c r="N16" s="94"/>
      <c r="O16" s="94"/>
      <c r="P16" s="94"/>
      <c r="Q16" s="29"/>
      <c r="S16" s="385"/>
      <c r="T16" s="386" t="str">
        <f>IF(RIGHT(Type_masquage,1)=",",IF(Lang="Français","Ailerons","Fins"),IF(Lang="Français","Ailerons bas","Lower Fins"))</f>
        <v>Ailerons bas</v>
      </c>
    </row>
    <row r="17" spans="1:20" ht="12.75" customHeight="1" thickTop="1" x14ac:dyDescent="0.25">
      <c r="A17" s="25"/>
      <c r="B17" s="139" t="s">
        <v>55</v>
      </c>
      <c r="C17" s="539" t="s">
        <v>555</v>
      </c>
      <c r="D17" s="540"/>
      <c r="L17" s="114"/>
      <c r="M17" s="566" t="s">
        <v>56</v>
      </c>
      <c r="N17" s="567"/>
      <c r="O17" s="590" t="s">
        <v>66</v>
      </c>
      <c r="P17" s="590"/>
      <c r="Q17" s="29"/>
      <c r="S17" s="386" t="str">
        <f>IF(Lang="Français","Haut","Top")</f>
        <v>Haut</v>
      </c>
      <c r="T17" s="387">
        <f>X_ail-m_ail</f>
        <v>1505</v>
      </c>
    </row>
    <row r="18" spans="1:20" ht="12.75" customHeight="1" x14ac:dyDescent="0.25">
      <c r="A18" s="25"/>
      <c r="B18" s="139" t="str">
        <f>IF(Lang="Français","Position du bas",IF(Lang="English","Basement",""))</f>
        <v>Position du bas</v>
      </c>
      <c r="C18" s="570">
        <f>Long_tot</f>
        <v>1755</v>
      </c>
      <c r="D18" s="570"/>
      <c r="K18" s="37"/>
      <c r="L18" s="108" t="str">
        <f>IF(Lang="Français","Coiffe",IF(Lang="English","Nose Cone",""))</f>
        <v>Coiffe</v>
      </c>
      <c r="M18" s="542">
        <f>IF(LEFT(Forme_ogive,5)="Parab",1/2*Long_ogive,IF(LEFT(Forme_ogive,4)="Ogiv",7/15*Long_ogive,IF(LEFT(Forme_ogive,3)="Con",2/3*Long_ogive)))</f>
        <v>116.66666666666667</v>
      </c>
      <c r="N18" s="543"/>
      <c r="O18" s="541">
        <f>2*POWER(D_og/D_ref, 2)</f>
        <v>2</v>
      </c>
      <c r="P18" s="541"/>
      <c r="Q18" s="29"/>
      <c r="S18" s="386" t="str">
        <f>IF(Lang="Français","Emplanture","Root edge")</f>
        <v>Emplanture</v>
      </c>
      <c r="T18" s="387">
        <f>m_ail</f>
        <v>250</v>
      </c>
    </row>
    <row r="19" spans="1:20" ht="12.75" customHeight="1" thickBot="1" x14ac:dyDescent="0.3">
      <c r="A19" s="25"/>
      <c r="B19" s="428" t="str">
        <f>IF(Propu="Cariacou","Cariacou :"," ")</f>
        <v xml:space="preserve"> </v>
      </c>
      <c r="C19" s="571" t="str">
        <f>IF(Propu="Pandora (Pro24-6G)",IF(Lang="Français","C'Space Seulement",IF(Lang="English","C'Space only","")),"")</f>
        <v/>
      </c>
      <c r="D19" s="571"/>
      <c r="L19" s="108" t="str">
        <f>IF(Lang="Français","Ailerons",IF(Lang="English","Fins",""))</f>
        <v>Ailerons</v>
      </c>
      <c r="M19" s="542">
        <f>(XCpa*Cnail-0.5*XCpi*Cni)/Cnai</f>
        <v>1641.4414414414414</v>
      </c>
      <c r="N19" s="543"/>
      <c r="O19" s="544">
        <f>Cnail-Cni/2</f>
        <v>20.203078547045632</v>
      </c>
      <c r="P19" s="545"/>
      <c r="Q19" s="29"/>
      <c r="S19" s="386" t="str">
        <f>IF(Lang="Français","Bas","Base")</f>
        <v>Bas</v>
      </c>
      <c r="T19" s="387">
        <f>X_ail</f>
        <v>1755</v>
      </c>
    </row>
    <row r="20" spans="1:20" ht="12.75" customHeight="1" thickTop="1" thickBot="1" x14ac:dyDescent="0.3">
      <c r="A20" s="25"/>
      <c r="B20" s="30"/>
      <c r="C20" s="546" t="str">
        <f>IF(Lang="Français","Coiffe",IF(Lang="English","Nose Cone",""))</f>
        <v>Coiffe</v>
      </c>
      <c r="D20" s="547"/>
      <c r="L20" s="108" t="str">
        <f>IF(Lang="Français","Ail bas entier",IF(Lang="English","Total Lower Fins",""))</f>
        <v>Ail bas entier</v>
      </c>
      <c r="M20" s="542">
        <f>X_ail-m_ail+p_ail*(m_ail+2*n_ail)/(3*(m_ail+n_ail))+(m_ail+n_ail-m_ail*n_ail/(m_ail+n_ail))/6</f>
        <v>1641.4414414414414</v>
      </c>
      <c r="N20" s="543"/>
      <c r="O20" s="541">
        <f>4*Q_ail*POWER((E_ail/D_ref),2)*(1+D_ail/(2*E_ail+D_ail))/(1+SQRT(1+POWER(2*f_ail/(m_ail+n_ail),2)))</f>
        <v>20.203078547045632</v>
      </c>
      <c r="P20" s="541"/>
      <c r="Q20" s="29"/>
    </row>
    <row r="21" spans="1:20" ht="12.75" customHeight="1" thickTop="1" x14ac:dyDescent="0.25">
      <c r="A21" s="25"/>
      <c r="B21" s="139" t="str">
        <f>IF(Lang="Français","Forme",IF(Lang="English","Shape",""))</f>
        <v>Forme</v>
      </c>
      <c r="C21" s="572" t="s">
        <v>550</v>
      </c>
      <c r="D21" s="573"/>
      <c r="L21" s="108" t="str">
        <f>IF(Lang="Français","Ailerons haut",IF(Lang="English","Upper Fins",""))</f>
        <v>Ailerons haut</v>
      </c>
      <c r="M21" s="542">
        <f>IF(LEFT(Type_masquage,1)="M",0, X_can-m_can+p_can*(m_can+2*n_can)/(3*(m_can+n_can))+(m_can+n_can-m_can*n_can/(m_can+n_can))/6)</f>
        <v>0</v>
      </c>
      <c r="N21" s="543"/>
      <c r="O21" s="541">
        <f>IF(LEFT(Type_masquage,1)="M",0, 4*Q_can*POWER((E_can/D_ref),2)*(1+D_can/(2*E_can+D_can))/(1+SQRT(1+POWER(2*f_can/(m_can+n_can),2))))</f>
        <v>0</v>
      </c>
      <c r="P21" s="541"/>
      <c r="Q21" s="29"/>
    </row>
    <row r="22" spans="1:20" ht="12.75" customHeight="1" x14ac:dyDescent="0.25">
      <c r="A22" s="25"/>
      <c r="B22" s="139" t="str">
        <f>IF(Lang="Français","Hauteur",IF(Lang="English","Heigth",""))</f>
        <v>Hauteur</v>
      </c>
      <c r="C22" s="549">
        <v>250</v>
      </c>
      <c r="D22" s="550"/>
      <c r="L22" s="108" t="str">
        <f>IF(Lang="Français","Partie masquée",IF(Lang="English","Interation zone",""))</f>
        <v>Partie masquée</v>
      </c>
      <c r="M22" s="555">
        <f>IF(LEFT(Type_masquage,1)="B", X_int-m_int+p_int*(m_int+2*n_int)/(3*(m_int+n_int))+(m_int+n_int-m_int*n_int/(m_int+n_int))/6, 0 )</f>
        <v>0</v>
      </c>
      <c r="N22" s="555"/>
      <c r="O22" s="544">
        <f>IF(LEFT(Type_masquage,1)="B", 4*Q_int*POWER((E_int/D_ref),2)*(1+D_int/(2*E_int+D_int))/(1+SQRT(1+POWER(2*f_int/(m_int+n_int),2))), 0 )</f>
        <v>0</v>
      </c>
      <c r="P22" s="545"/>
      <c r="Q22" s="29"/>
    </row>
    <row r="23" spans="1:20" ht="12.75" customHeight="1" x14ac:dyDescent="0.25">
      <c r="A23" s="25"/>
      <c r="B23" s="139" t="str">
        <f>IF(Lang="Français","Diamètre",IF(Lang="English","Diameter",""))</f>
        <v>Diamètre</v>
      </c>
      <c r="C23" s="549">
        <v>100</v>
      </c>
      <c r="D23" s="550"/>
      <c r="L23" s="108" t="s">
        <v>157</v>
      </c>
      <c r="M23" s="542">
        <f>IF(OR(RIGHT(Nb_diam,1)=",",D2j=0),0, X_j+l_j/3*(1+1/(1+D1j/D2j)) )</f>
        <v>0</v>
      </c>
      <c r="N23" s="543"/>
      <c r="O23" s="541">
        <f>IF(OR(RIGHT(Nb_diam,1)=",",D2j=0),0,2*(POWER(D2j/D_ref,2)-POWER(D1j/D_ref,2)))</f>
        <v>0</v>
      </c>
      <c r="P23" s="541"/>
      <c r="Q23" s="29"/>
    </row>
    <row r="24" spans="1:20" ht="12.75" customHeight="1" thickBot="1" x14ac:dyDescent="0.3">
      <c r="A24" s="25"/>
      <c r="L24" s="108" t="s">
        <v>158</v>
      </c>
      <c r="M24" s="542">
        <f>IF( OR(RIGHT(Nb_diam,1)=",",D2r=0), 0, X_r+l_r/3*(1+1/(1+D1r/D2r)) )</f>
        <v>0</v>
      </c>
      <c r="N24" s="543"/>
      <c r="O24" s="541">
        <f>IF( OR(RIGHT(Nb_diam,1)=",",D2r=0), 0, 2*(POWER(D2r/D_ref,2)-POWER(D1r/D_ref,2)) )</f>
        <v>0</v>
      </c>
      <c r="P24" s="541"/>
      <c r="Q24" s="29"/>
    </row>
    <row r="25" spans="1:20" ht="12.75" customHeight="1" thickTop="1" thickBot="1" x14ac:dyDescent="0.3">
      <c r="A25" s="25"/>
      <c r="B25" s="30"/>
      <c r="C25" s="178" t="str">
        <f>IF(LEFT(Type_masquage,1)="M",IF(Lang="Français","Ailerons","Fins"),IF(Lang="Français","Ailerons bas","Lower Fins"))</f>
        <v>Ailerons</v>
      </c>
      <c r="D25" s="179" t="str">
        <f>IF(Lang="Français","Ailerons haut",IF(Lang="English","Upper Fins",""))</f>
        <v>Ailerons haut</v>
      </c>
      <c r="E25" s="180" t="s">
        <v>152</v>
      </c>
      <c r="L25" s="38"/>
      <c r="M25" s="38"/>
      <c r="N25" s="38"/>
      <c r="Q25" s="29"/>
      <c r="R25" s="38"/>
      <c r="S25" s="388" t="str">
        <f ca="1">IF(AND(Portee_balistique&gt;200,LEFT(Type_propu,3)="Min"),IF(Lang="Français","Fusée trop lègère !","Rocket too light"),"")</f>
        <v/>
      </c>
    </row>
    <row r="26" spans="1:20" ht="12.75" customHeight="1" thickTop="1" x14ac:dyDescent="0.25">
      <c r="A26" s="25"/>
      <c r="B26" s="30"/>
      <c r="C26" s="568" t="s">
        <v>426</v>
      </c>
      <c r="D26" s="569"/>
      <c r="F26" s="39">
        <f ca="1">TODAY()</f>
        <v>44910</v>
      </c>
      <c r="G26" s="137" t="s">
        <v>63</v>
      </c>
      <c r="H26" s="536" t="str">
        <f>IF(Lang="Français","Résultats",IF(Lang="English","Results",""))</f>
        <v>Résultats</v>
      </c>
      <c r="I26" s="536"/>
      <c r="J26" s="137" t="s">
        <v>64</v>
      </c>
      <c r="K26" s="32"/>
      <c r="L26" s="38"/>
      <c r="M26" s="38"/>
      <c r="N26" s="38"/>
      <c r="Q26" s="29"/>
      <c r="R26" s="38"/>
      <c r="S26" s="388" t="str">
        <f ca="1">IF(AND(Vsortie_de_rampe&lt;18, OR(LEFT(Type_fusee,1)=",",LEFT(Type_fusee,4)="Mini",LEFT(Type_fusee,1)="R")),IF(Lang="Français","Fusée trop lourde ou rampe trop courte !","Rocket too heavy or launch pad too small!"),"")</f>
        <v/>
      </c>
    </row>
    <row r="27" spans="1:20" ht="12.75" customHeight="1" x14ac:dyDescent="0.25">
      <c r="A27" s="25"/>
      <c r="B27" s="526" t="str">
        <f>IF(Lang="Français"," Emplanture  'm'",IF(Lang="English"," Root edge  'm'",""))</f>
        <v xml:space="preserve"> Emplanture  'm'</v>
      </c>
      <c r="C27" s="177">
        <v>250</v>
      </c>
      <c r="D27" s="177">
        <v>70</v>
      </c>
      <c r="E27" s="146">
        <f>m_ail</f>
        <v>250</v>
      </c>
      <c r="F27" s="105" t="s">
        <v>65</v>
      </c>
      <c r="G27" s="104">
        <f>IF(RIGHT(Type_fusee,1)=".",10, IF(OR(LEFT(Type_fusee,1)="R",LEFT(Type_fusee,1)=",",LEFT(Type_fusee,4)="Mini"),10, IF(LEFT(Type_fusee,5)="Micro",10, IF(RIGHT(Type_fusee,1)=" ",1))))</f>
        <v>10</v>
      </c>
      <c r="H27" s="584">
        <f>Long_tot/D_ref</f>
        <v>17.55</v>
      </c>
      <c r="I27" s="585"/>
      <c r="J27" s="104">
        <f>IF(RIGHT(Type_fusee,1)=".",35, IF(OR(LEFT(Type_fusee,1)="R",LEFT(Type_fusee,1)=",",LEFT(Type_fusee,4)="Mini"),20, IF(LEFT(Type_fusee,5)="Micro",30, IF(RIGHT(Type_fusee,1)=" ",100))))</f>
        <v>35</v>
      </c>
      <c r="K27" s="32"/>
      <c r="L27" s="38"/>
      <c r="M27" s="38"/>
      <c r="N27" s="38"/>
      <c r="Q27" s="29"/>
      <c r="R27" s="38"/>
      <c r="S27" s="388" t="str">
        <f>IF(Finesse&lt;CritFinessemin, IF(Lang="Français","Fusée trop courte !","Rocket too short!"), "" ) &amp; IF(Finesse&gt;CritFinessemax, IF(Lang="Français","Fusée trop longue !","Rocket too long!"), "" )</f>
        <v/>
      </c>
    </row>
    <row r="28" spans="1:20" ht="12.75" customHeight="1" x14ac:dyDescent="0.25">
      <c r="A28" s="25"/>
      <c r="B28" s="526" t="str">
        <f>IF(Lang="Français"," Saumon       'n'",IF(Lang="English"," Tip edge    'n'",""))</f>
        <v xml:space="preserve"> Saumon       'n'</v>
      </c>
      <c r="C28" s="35">
        <v>120</v>
      </c>
      <c r="D28" s="35">
        <v>10</v>
      </c>
      <c r="E28" s="146">
        <f>n_ail+(m_ail-n_ail)*(1-E_int/E_ail)</f>
        <v>209.375</v>
      </c>
      <c r="F28" s="105" t="str">
        <f>IF(Lang="Français","Portance","Lift")</f>
        <v>Portance</v>
      </c>
      <c r="G28" s="104">
        <f>IF(RIGHT(Type_fusee,1)=".",15,IF(OR(LEFT(Type_fusee,1)="R",LEFT(Type_fusee,1)=",",LEFT(Type_fusee,4)="Mini"),15, IF(LEFT(Type_fusee,5)="Micro",15, IF(RIGHT(Type_fusee,1)=" ",15))))</f>
        <v>15</v>
      </c>
      <c r="H28" s="510">
        <f>Cnai+Cnc+Cno+Cnj+Cnr</f>
        <v>22.203078547045632</v>
      </c>
      <c r="I28" s="510">
        <f>Cnail+Cnc+Cno+Cnj+Cnr</f>
        <v>22.203078547045632</v>
      </c>
      <c r="J28" s="104">
        <f>IF(RIGHT(Type_fusee,1)=".",40, IF(OR(LEFT(Type_fusee,1)="R",LEFT(Type_fusee,1)=",",LEFT(Type_fusee,4)="Mini"),30, IF(LEFT(Type_fusee,5)="Micro",30, IF(RIGHT(Type_fusee,1)=" ",30))))</f>
        <v>40</v>
      </c>
      <c r="K28" s="32"/>
      <c r="L28" s="38"/>
      <c r="M28" s="38"/>
      <c r="N28" s="38"/>
      <c r="Q28" s="29"/>
      <c r="R28" s="38"/>
      <c r="S28" s="388" t="str">
        <f>IF(Cn&lt;CritCnmin, IF(Lang="Français","Ailerons trop petits !","Fins too small!"), "" ) &amp; IF(Cn&gt;CritCnmax, IF(Lang="Français","Ailerons trop grands !","Fins too big!"), "" )</f>
        <v/>
      </c>
    </row>
    <row r="29" spans="1:20" ht="12.75" customHeight="1" x14ac:dyDescent="0.25">
      <c r="A29" s="25"/>
      <c r="B29" s="526" t="str">
        <f>IF(Lang="Français"," Flèche          'p'"," Offset         'p'")</f>
        <v xml:space="preserve"> Flèche          'p'</v>
      </c>
      <c r="C29" s="35">
        <v>200</v>
      </c>
      <c r="D29" s="35">
        <v>40</v>
      </c>
      <c r="E29" s="146">
        <f>p_ail*E_int/E_ail</f>
        <v>62.5</v>
      </c>
      <c r="F29" s="517" t="str">
        <f>IF(Lang="Français","MargeStat.","StatMargin")</f>
        <v>MargeStat.</v>
      </c>
      <c r="G29" s="512">
        <f>IF(RIGHT(Type_fusee,1)=".",2, IF(OR(LEFT(Type_fusee,1)="R",LEFT(Type_fusee,1)=",",LEFT(Type_fusee,4)="Mini"),1.5, IF(LEFT(Type_fusee,5)="Micro",1, IF(RIGHT(Type_fusee,1)=" ",1))))</f>
        <v>2</v>
      </c>
      <c r="H29" s="97">
        <f ca="1">(XCp-XcgPlein)/D_ref</f>
        <v>2.8773324269274396</v>
      </c>
      <c r="I29" s="98">
        <f ca="1">(XCp0-XcgVide)/D_ref</f>
        <v>3.3235318161248437</v>
      </c>
      <c r="J29" s="512">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
      </c>
    </row>
    <row r="30" spans="1:20" ht="12.75" customHeight="1" x14ac:dyDescent="0.25">
      <c r="A30" s="25"/>
      <c r="B30" s="526" t="str">
        <f>IF(Lang="Français"," Envergure     'E'",IF(Lang="English"," Span          'E'",""))</f>
        <v xml:space="preserve"> Envergure     'E'</v>
      </c>
      <c r="C30" s="35">
        <v>160</v>
      </c>
      <c r="D30" s="35">
        <v>50</v>
      </c>
      <c r="E30" s="146">
        <f>IF(D_can/2+E_can&lt;=D_ail/2,0, IF(D_can/2+E_can&gt;=D_ail/2+E_ail,E_ail,  D_can/2+E_can - D_ail/2  ) )</f>
        <v>50</v>
      </c>
      <c r="F30" s="518" t="str">
        <f>IF(Lang="Français","Couple","Torque")</f>
        <v>Couple</v>
      </c>
      <c r="G30" s="513">
        <f>IF(RIGHT(Type_fusee,1)=".",40, IF(OR(LEFT(Type_fusee,1)="R",LEFT(Type_fusee,1)=",",LEFT(Type_fusee,4)="Mini"),30, IF(LEFT(Type_fusee,5)="Micro",15, IF(RIGHT(Type_fusee,1)=" ",15))))</f>
        <v>40</v>
      </c>
      <c r="H30" s="99">
        <f ca="1">MS_min*Cn</f>
        <v>63.885637881031379</v>
      </c>
      <c r="I30" s="96">
        <f ca="1">MS_max*Cn0</f>
        <v>73.792637967025129</v>
      </c>
      <c r="J30" s="513">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
      </c>
    </row>
    <row r="31" spans="1:20" ht="12.75" customHeight="1" x14ac:dyDescent="0.25">
      <c r="A31" s="25"/>
      <c r="B31" s="527" t="str">
        <f>IF(Lang="Français"," Epaisseur     'ep'",IF(Lang="English"," Thickness  'ep'",""))</f>
        <v xml:space="preserve"> Epaisseur     'ep'</v>
      </c>
      <c r="C31" s="35">
        <v>2</v>
      </c>
      <c r="D31" s="35">
        <v>2</v>
      </c>
      <c r="E31" s="146">
        <f>ep_ail</f>
        <v>2</v>
      </c>
      <c r="F31" s="106" t="s">
        <v>56</v>
      </c>
      <c r="G31" s="103"/>
      <c r="H31" s="511">
        <f>(Cnai*XCpai+Cnc*XCpc+Cnj*XCpj+Cnr*XCpr+Cno*XCpo)/(Cnai+Cnc+Cnr+Cnj+Cno)</f>
        <v>1504.0933911209454</v>
      </c>
      <c r="I31" s="511">
        <f>(Cnail*XCpa+Cnc*XCpc+Cnj*XCpj+Cnr*XCpr+Cno*XCpo)/(Cnail+Cnc+Cnr+Cnj+Cno)</f>
        <v>1504.0933911209454</v>
      </c>
      <c r="J31" s="102"/>
      <c r="K31" s="32"/>
      <c r="Q31" s="29"/>
      <c r="R31" s="38"/>
      <c r="S31" s="388"/>
    </row>
    <row r="32" spans="1:20" ht="12.75" customHeight="1" x14ac:dyDescent="0.25">
      <c r="A32" s="25"/>
      <c r="B32" s="526" t="str">
        <f>IF(Lang="Français"," Nombre            ",IF(Lang="English"," Number of fins",""))</f>
        <v xml:space="preserve"> Nombre            </v>
      </c>
      <c r="C32" s="36">
        <v>4</v>
      </c>
      <c r="D32" s="36">
        <v>4</v>
      </c>
      <c r="E32" s="146">
        <f>IF(Q_ail=Q_can,Q_ail,FALSE)</f>
        <v>4</v>
      </c>
      <c r="F32" s="106" t="s">
        <v>67</v>
      </c>
      <c r="G32" s="103"/>
      <c r="H32" s="100">
        <f ca="1">(XCp-XcgPlein)/Long_tot*100</f>
        <v>16.395056563689113</v>
      </c>
      <c r="I32" s="101">
        <f ca="1">(XCp-XcgVide)/Long_tot*100</f>
        <v>18.937503225782585</v>
      </c>
      <c r="J32" s="102"/>
      <c r="K32" s="32"/>
      <c r="Q32" s="29"/>
      <c r="R32" s="38"/>
    </row>
    <row r="33" spans="1:23" ht="12.75" customHeight="1" x14ac:dyDescent="0.25">
      <c r="A33" s="25"/>
      <c r="B33" s="526" t="str">
        <f>IF(Lang="Français"," Position du bas",IF(Lang="English"," Basement",""))</f>
        <v xml:space="preserve"> Position du bas</v>
      </c>
      <c r="C33" s="35">
        <f>Long_tot</f>
        <v>1755</v>
      </c>
      <c r="D33" s="35">
        <v>700</v>
      </c>
      <c r="E33" s="146">
        <f>X_ail</f>
        <v>1755</v>
      </c>
      <c r="G33" s="24"/>
      <c r="H33" s="574" t="str">
        <f ca="1">IF(AND(CritCnmin&lt;Cn,Cn0&lt;CritCnmax,CritMsmin&lt;MS_min,MS_max&lt;CritMsmax,CritMsCnmin&lt;MS_Cn_min,MS_Cn_max&lt;CritMsCnmax),"STABLE",IF(OR(Cn&lt;CritCnmin,MS_min&lt;CritMsmin,MS_Cn_min&lt;CritMsCnmin),"INSTABLE",IF(Lang="Français","SURSTABLE","OVERSTABLE")))</f>
        <v>STABLE</v>
      </c>
      <c r="I33" s="575"/>
      <c r="J33" s="31"/>
      <c r="K33" s="32"/>
      <c r="Q33" s="29"/>
      <c r="R33" s="38"/>
    </row>
    <row r="34" spans="1:23" ht="12.75" customHeight="1" x14ac:dyDescent="0.25">
      <c r="A34" s="25"/>
      <c r="B34" s="526" t="str">
        <f>IF(Lang="Français"," Diamètre         ",IF(Lang="English"," Diameter at Fins",""))</f>
        <v xml:space="preserve"> Diamètre         </v>
      </c>
      <c r="C34" s="35">
        <f>D_ref</f>
        <v>100</v>
      </c>
      <c r="D34" s="35">
        <f>D_ref</f>
        <v>100</v>
      </c>
      <c r="E34" s="146">
        <f>D_ail</f>
        <v>100</v>
      </c>
      <c r="G34" s="24"/>
      <c r="H34" s="576"/>
      <c r="I34" s="577"/>
      <c r="K34" s="32"/>
      <c r="Q34" s="29"/>
      <c r="R34" s="38"/>
    </row>
    <row r="35" spans="1:23" ht="12.75" customHeight="1" x14ac:dyDescent="0.25">
      <c r="A35" s="25"/>
      <c r="B35" s="526" t="str">
        <f>IF(Lang="Français"," Ligne mi-corde f",IF(Lang="English"," Mid-chord line f",""))</f>
        <v xml:space="preserve"> Ligne mi-corde f</v>
      </c>
      <c r="C35" s="145">
        <f>SQRT(POWER(p_ail+n_ail/2-m_ail/2,2)+POWER(E_ail,2))</f>
        <v>209.34421415458323</v>
      </c>
      <c r="D35" s="145">
        <f>SQRT(POWER(p_can+n_can/2-m_can/2,2)+POWER(E_can,2))</f>
        <v>50.990195135927848</v>
      </c>
      <c r="E35" s="146">
        <f>SQRT(POWER(p_int+n_int/2-m_int/2,2)+POWER(E_int,2))</f>
        <v>65.42006692330726</v>
      </c>
      <c r="K35" s="32"/>
      <c r="Q35" s="29"/>
      <c r="R35" s="38"/>
      <c r="W35" s="24" t="str">
        <f>RIGHT(Type_fusee,1="R")</f>
        <v/>
      </c>
    </row>
    <row r="36" spans="1:23" ht="12.75" customHeight="1" thickBot="1" x14ac:dyDescent="0.3">
      <c r="A36" s="40"/>
      <c r="B36" s="182" t="str">
        <f>IF(Lang="Français","Commentaire libre :",IF(Lang="English","Free comment:",""))</f>
        <v>Commentaire libre :</v>
      </c>
      <c r="C36" s="41"/>
      <c r="D36" s="42"/>
      <c r="E36" s="91"/>
      <c r="F36" s="67"/>
      <c r="G36" s="67"/>
      <c r="H36" s="67"/>
      <c r="I36" s="67"/>
      <c r="J36" s="42"/>
      <c r="K36" s="42"/>
      <c r="L36" s="389" t="s">
        <v>271</v>
      </c>
      <c r="M36" s="392" t="str">
        <f>IF(ROUND(SUM(Propu!5:1228),0)=395253,"propu OK","propu NOK")</f>
        <v>propu OK</v>
      </c>
      <c r="N36" s="391" t="str">
        <f>IF(Lang="Français","fichier initial","Initial file")</f>
        <v>fichier initial</v>
      </c>
      <c r="O36" s="392"/>
      <c r="P36" s="390"/>
      <c r="Q36" s="291" t="s">
        <v>546</v>
      </c>
      <c r="R36" s="38"/>
    </row>
    <row r="37" spans="1:23" ht="12.75" customHeight="1" x14ac:dyDescent="0.25">
      <c r="R37" s="43"/>
    </row>
    <row r="38" spans="1:23" x14ac:dyDescent="0.25">
      <c r="L38" s="226" t="str">
        <f>IF(Lang="Français","Maintenant que votre fusée est stable, vérifiez sa trajectoire via la feuille","Now your rocket is stable, check its trajectory on sheet")</f>
        <v>Maintenant que votre fusée est stable, vérifiez sa trajectoire via la feuille</v>
      </c>
      <c r="M38" s="483" t="s">
        <v>181</v>
      </c>
    </row>
    <row r="39" spans="1:23" x14ac:dyDescent="0.25">
      <c r="H39" s="87"/>
      <c r="O39" s="26"/>
      <c r="P39" s="26"/>
    </row>
    <row r="40" spans="1:23" x14ac:dyDescent="0.25">
      <c r="F40" s="24"/>
      <c r="H40" s="43"/>
      <c r="I40" s="44"/>
      <c r="J40" s="43"/>
      <c r="N40" s="43"/>
      <c r="Q40" s="43"/>
      <c r="S40" s="508"/>
    </row>
    <row r="41" spans="1:23" x14ac:dyDescent="0.25">
      <c r="F41" s="24"/>
      <c r="G41" s="505"/>
      <c r="H41" s="506"/>
      <c r="I41" s="44"/>
      <c r="J41" s="43"/>
      <c r="N41" s="43"/>
      <c r="Q41" s="43"/>
      <c r="R41" s="43"/>
    </row>
    <row r="42" spans="1:23" x14ac:dyDescent="0.25">
      <c r="F42" s="24"/>
      <c r="H42" s="43"/>
      <c r="I42" s="44"/>
      <c r="J42" s="43"/>
      <c r="N42" s="43"/>
      <c r="Q42" s="43"/>
      <c r="R42" s="43"/>
    </row>
    <row r="43" spans="1:23" x14ac:dyDescent="0.25">
      <c r="F43" s="24"/>
      <c r="H43" s="43"/>
      <c r="I43" s="44"/>
      <c r="J43" s="43"/>
      <c r="N43" s="43"/>
      <c r="Q43" s="43"/>
      <c r="R43" s="43"/>
    </row>
    <row r="44" spans="1:23" x14ac:dyDescent="0.25">
      <c r="F44" s="24"/>
      <c r="H44" s="43"/>
      <c r="I44" s="44"/>
      <c r="J44" s="43"/>
      <c r="N44" s="43"/>
      <c r="Q44" s="43"/>
      <c r="R44" s="43"/>
    </row>
    <row r="45" spans="1:23" x14ac:dyDescent="0.25">
      <c r="F45" s="24"/>
      <c r="H45" s="43"/>
      <c r="I45" s="44"/>
      <c r="J45" s="43"/>
      <c r="N45" s="43"/>
      <c r="Q45" s="43"/>
      <c r="R45" s="43"/>
    </row>
    <row r="46" spans="1:23" x14ac:dyDescent="0.25">
      <c r="F46" s="24"/>
      <c r="H46" s="43"/>
      <c r="I46" s="44"/>
      <c r="J46" s="43"/>
      <c r="L46" s="43"/>
      <c r="M46" s="43"/>
      <c r="N46" s="43"/>
      <c r="Q46" s="43"/>
      <c r="R46" s="43"/>
    </row>
    <row r="47" spans="1:23" x14ac:dyDescent="0.25">
      <c r="F47" s="24"/>
      <c r="H47" s="43"/>
      <c r="I47" s="44"/>
      <c r="J47" s="43"/>
      <c r="L47" s="43"/>
      <c r="M47" s="43"/>
      <c r="N47" s="43"/>
      <c r="Q47" s="43"/>
      <c r="R47" s="43"/>
    </row>
    <row r="48" spans="1:23" x14ac:dyDescent="0.25">
      <c r="F48" s="24"/>
      <c r="H48" s="43"/>
      <c r="I48" s="44"/>
      <c r="J48" s="43"/>
      <c r="L48" s="43"/>
      <c r="M48" s="43"/>
      <c r="N48" s="43"/>
      <c r="Q48" s="43"/>
      <c r="R48" s="43"/>
    </row>
    <row r="49" spans="2:18" x14ac:dyDescent="0.25">
      <c r="F49" s="24"/>
      <c r="H49" s="43"/>
      <c r="I49" s="44"/>
      <c r="J49" s="43"/>
      <c r="L49" s="43"/>
      <c r="M49" s="43"/>
      <c r="N49" s="43"/>
      <c r="Q49" s="43"/>
      <c r="R49" s="43"/>
    </row>
    <row r="50" spans="2:18" x14ac:dyDescent="0.25">
      <c r="F50" s="24"/>
      <c r="H50" s="43"/>
      <c r="I50" s="44"/>
      <c r="J50" s="43"/>
      <c r="L50" s="43"/>
      <c r="M50" s="43"/>
      <c r="N50" s="43"/>
      <c r="Q50" s="43"/>
      <c r="R50" s="43"/>
    </row>
    <row r="51" spans="2:18" x14ac:dyDescent="0.25">
      <c r="F51" s="24"/>
      <c r="H51" s="43"/>
      <c r="I51" s="44"/>
      <c r="J51" s="43"/>
      <c r="L51" s="43"/>
      <c r="M51" s="43"/>
      <c r="N51" s="43"/>
      <c r="Q51" s="43"/>
      <c r="R51" s="43"/>
    </row>
    <row r="52" spans="2:18" x14ac:dyDescent="0.25">
      <c r="H52" s="43"/>
      <c r="I52" s="44"/>
      <c r="J52" s="43"/>
      <c r="L52" s="43"/>
      <c r="M52" s="43"/>
      <c r="N52" s="43"/>
      <c r="Q52" s="43"/>
      <c r="R52" s="43"/>
    </row>
    <row r="53" spans="2:18" x14ac:dyDescent="0.25">
      <c r="H53" s="43"/>
      <c r="I53" s="44"/>
      <c r="J53" s="43"/>
      <c r="L53" s="43"/>
      <c r="M53" s="43"/>
      <c r="N53" s="43"/>
      <c r="Q53" s="43"/>
      <c r="R53" s="43"/>
    </row>
    <row r="54" spans="2:18" x14ac:dyDescent="0.25">
      <c r="H54" s="43"/>
      <c r="I54" s="44"/>
      <c r="J54" s="43"/>
      <c r="L54" s="43"/>
      <c r="M54" s="43"/>
      <c r="N54" s="43"/>
      <c r="Q54" s="43"/>
      <c r="R54" s="43"/>
    </row>
    <row r="55" spans="2:18" x14ac:dyDescent="0.25">
      <c r="H55" s="43"/>
      <c r="I55" s="44"/>
      <c r="J55" s="43"/>
      <c r="L55" s="43"/>
      <c r="M55" s="43"/>
      <c r="N55" s="43"/>
      <c r="Q55" s="43"/>
      <c r="R55" s="43"/>
    </row>
    <row r="56" spans="2:18" x14ac:dyDescent="0.25">
      <c r="C56" s="24"/>
      <c r="H56" s="43"/>
      <c r="I56" s="44"/>
      <c r="J56" s="43"/>
      <c r="L56" s="43"/>
      <c r="M56" s="43"/>
      <c r="N56" s="43"/>
      <c r="Q56" s="43"/>
      <c r="R56" s="43"/>
    </row>
    <row r="57" spans="2:18" x14ac:dyDescent="0.25">
      <c r="H57" s="43"/>
      <c r="I57" s="44"/>
      <c r="J57" s="43"/>
      <c r="L57" s="43"/>
      <c r="M57" s="43"/>
      <c r="N57" s="43"/>
      <c r="Q57" s="43"/>
      <c r="R57" s="43"/>
    </row>
    <row r="58" spans="2:18" x14ac:dyDescent="0.25">
      <c r="B58" s="31"/>
      <c r="H58" s="43"/>
      <c r="I58" s="44"/>
      <c r="J58" s="43"/>
      <c r="L58" s="43"/>
      <c r="M58" s="43"/>
      <c r="N58" s="43"/>
      <c r="Q58" s="43"/>
      <c r="R58" s="43"/>
    </row>
    <row r="59" spans="2:18" x14ac:dyDescent="0.25">
      <c r="B59" s="31"/>
      <c r="H59" s="43"/>
      <c r="I59" s="44"/>
      <c r="J59" s="43"/>
      <c r="L59" s="43"/>
      <c r="M59" s="43"/>
      <c r="N59" s="43"/>
      <c r="Q59" s="43"/>
      <c r="R59" s="43"/>
    </row>
    <row r="60" spans="2:18" x14ac:dyDescent="0.25">
      <c r="B60" s="31"/>
      <c r="H60" s="43"/>
      <c r="I60" s="44"/>
      <c r="J60" s="43"/>
      <c r="L60" s="43"/>
      <c r="M60" s="43"/>
      <c r="N60" s="43"/>
      <c r="Q60" s="43"/>
      <c r="R60" s="43"/>
    </row>
    <row r="61" spans="2:18" x14ac:dyDescent="0.25">
      <c r="B61" s="31"/>
      <c r="H61" s="43"/>
      <c r="I61" s="44"/>
      <c r="J61" s="43"/>
      <c r="L61" s="43"/>
      <c r="M61" s="43"/>
      <c r="N61" s="43"/>
      <c r="Q61" s="43"/>
      <c r="R61" s="43"/>
    </row>
    <row r="62" spans="2:18" x14ac:dyDescent="0.25">
      <c r="B62" s="31"/>
      <c r="H62" s="43"/>
      <c r="I62" s="44"/>
      <c r="J62" s="43"/>
      <c r="L62" s="43"/>
      <c r="M62" s="43"/>
      <c r="N62" s="43"/>
      <c r="Q62" s="43"/>
      <c r="R62" s="43"/>
    </row>
    <row r="63" spans="2:18" x14ac:dyDescent="0.25">
      <c r="B63" s="31"/>
      <c r="H63" s="43"/>
      <c r="I63" s="44"/>
      <c r="J63" s="43"/>
      <c r="L63" s="43"/>
      <c r="M63" s="43"/>
      <c r="N63" s="43"/>
      <c r="Q63" s="43"/>
      <c r="R63" s="43"/>
    </row>
    <row r="64" spans="2:18" x14ac:dyDescent="0.25">
      <c r="B64" s="31"/>
      <c r="H64" s="43"/>
      <c r="I64" s="44"/>
      <c r="J64" s="43"/>
      <c r="L64" s="43"/>
      <c r="M64" s="43"/>
      <c r="N64" s="43"/>
      <c r="Q64" s="43"/>
      <c r="R64" s="43"/>
    </row>
    <row r="65" spans="2:18" x14ac:dyDescent="0.25">
      <c r="B65" s="31"/>
      <c r="H65" s="43"/>
      <c r="I65" s="44"/>
      <c r="J65" s="43"/>
      <c r="L65" s="43"/>
      <c r="M65" s="43"/>
      <c r="N65" s="43"/>
      <c r="Q65" s="43"/>
      <c r="R65" s="43"/>
    </row>
    <row r="66" spans="2:18" x14ac:dyDescent="0.25">
      <c r="B66" s="31"/>
      <c r="H66" s="43"/>
      <c r="I66" s="44"/>
      <c r="J66" s="43"/>
      <c r="L66" s="43"/>
      <c r="M66" s="43"/>
      <c r="N66" s="43"/>
      <c r="Q66" s="43"/>
      <c r="R66" s="43"/>
    </row>
    <row r="67" spans="2:18" x14ac:dyDescent="0.25">
      <c r="C67" s="24"/>
      <c r="H67" s="43"/>
      <c r="I67" s="44"/>
      <c r="J67" s="43"/>
      <c r="L67" s="43"/>
      <c r="M67" s="43"/>
      <c r="N67" s="43"/>
      <c r="Q67" s="43"/>
      <c r="R67" s="43"/>
    </row>
    <row r="68" spans="2:18" x14ac:dyDescent="0.25">
      <c r="C68" s="24"/>
      <c r="H68" s="43"/>
      <c r="I68" s="44"/>
      <c r="J68" s="43"/>
      <c r="L68" s="43"/>
      <c r="M68" s="43"/>
      <c r="N68" s="43"/>
      <c r="Q68" s="43"/>
      <c r="R68" s="43"/>
    </row>
    <row r="69" spans="2:18" x14ac:dyDescent="0.25">
      <c r="C69" s="24"/>
      <c r="H69" s="43"/>
      <c r="I69" s="44"/>
      <c r="J69" s="43"/>
      <c r="L69" s="43"/>
      <c r="M69" s="43"/>
      <c r="N69" s="43"/>
      <c r="Q69" s="43"/>
      <c r="R69" s="43"/>
    </row>
    <row r="70" spans="2:18" x14ac:dyDescent="0.25">
      <c r="C70" s="24"/>
      <c r="H70" s="43"/>
      <c r="I70" s="44"/>
      <c r="J70" s="43"/>
      <c r="L70" s="43"/>
      <c r="M70" s="43"/>
      <c r="N70" s="43"/>
      <c r="Q70" s="43"/>
      <c r="R70" s="43"/>
    </row>
    <row r="71" spans="2:18" x14ac:dyDescent="0.25">
      <c r="C71" s="24"/>
      <c r="H71" s="43"/>
      <c r="I71" s="44"/>
      <c r="J71" s="43"/>
      <c r="L71" s="43"/>
      <c r="M71" s="43"/>
      <c r="N71" s="43"/>
      <c r="Q71" s="43"/>
      <c r="R71" s="43"/>
    </row>
    <row r="72" spans="2:18" x14ac:dyDescent="0.25">
      <c r="C72" s="24"/>
      <c r="H72" s="43"/>
      <c r="I72" s="44"/>
      <c r="J72" s="43"/>
      <c r="L72" s="43"/>
      <c r="M72" s="43"/>
      <c r="N72" s="43"/>
      <c r="Q72" s="43"/>
      <c r="R72" s="43"/>
    </row>
    <row r="73" spans="2:18" x14ac:dyDescent="0.25">
      <c r="C73" s="24"/>
      <c r="H73" s="43"/>
      <c r="I73" s="44"/>
      <c r="J73" s="43"/>
      <c r="L73" s="43"/>
      <c r="M73" s="43"/>
      <c r="N73" s="43"/>
      <c r="Q73" s="43"/>
      <c r="R73" s="43"/>
    </row>
    <row r="74" spans="2:18" x14ac:dyDescent="0.25">
      <c r="C74" s="24"/>
      <c r="H74" s="43"/>
      <c r="I74" s="44"/>
      <c r="J74" s="43"/>
      <c r="L74" s="43"/>
      <c r="M74" s="43"/>
      <c r="N74" s="43"/>
      <c r="Q74" s="43"/>
      <c r="R74" s="43"/>
    </row>
    <row r="75" spans="2:18" x14ac:dyDescent="0.25">
      <c r="C75" s="24"/>
      <c r="H75" s="43"/>
      <c r="I75" s="44"/>
      <c r="J75" s="43"/>
      <c r="L75" s="43"/>
      <c r="M75" s="43"/>
      <c r="N75" s="43"/>
      <c r="Q75" s="43"/>
      <c r="R75" s="43"/>
    </row>
    <row r="76" spans="2:18" x14ac:dyDescent="0.25">
      <c r="C76" s="24"/>
      <c r="H76" s="43"/>
      <c r="I76" s="44"/>
      <c r="J76" s="43"/>
      <c r="L76" s="43"/>
      <c r="M76" s="43"/>
      <c r="N76" s="43"/>
      <c r="Q76" s="43"/>
      <c r="R76" s="43"/>
    </row>
    <row r="77" spans="2:18" x14ac:dyDescent="0.25">
      <c r="C77" s="24"/>
      <c r="H77" s="43"/>
      <c r="I77" s="44"/>
      <c r="J77" s="43"/>
      <c r="L77" s="43"/>
      <c r="M77" s="43"/>
      <c r="N77" s="43"/>
      <c r="Q77" s="43"/>
      <c r="R77" s="43"/>
    </row>
    <row r="78" spans="2:18" x14ac:dyDescent="0.25">
      <c r="C78" s="24"/>
      <c r="H78" s="43"/>
      <c r="I78" s="44"/>
      <c r="J78" s="43"/>
      <c r="L78" s="43"/>
      <c r="M78" s="43"/>
      <c r="N78" s="43"/>
      <c r="Q78" s="43"/>
      <c r="R78" s="43"/>
    </row>
    <row r="79" spans="2:18" x14ac:dyDescent="0.25">
      <c r="C79" s="24"/>
      <c r="H79" s="43"/>
      <c r="I79" s="44"/>
      <c r="J79" s="43"/>
      <c r="L79" s="43"/>
      <c r="M79" s="43"/>
      <c r="N79" s="43"/>
      <c r="Q79" s="43"/>
      <c r="R79" s="43"/>
    </row>
    <row r="80" spans="2:18" x14ac:dyDescent="0.25">
      <c r="C80" s="24"/>
      <c r="H80" s="43"/>
      <c r="I80" s="44"/>
      <c r="J80" s="43"/>
      <c r="L80" s="43"/>
      <c r="M80" s="43"/>
      <c r="N80" s="43"/>
      <c r="Q80" s="43"/>
      <c r="R80" s="43"/>
    </row>
    <row r="81" spans="2:18" x14ac:dyDescent="0.25">
      <c r="C81" s="24"/>
      <c r="H81" s="43"/>
      <c r="I81" s="44"/>
      <c r="J81" s="43"/>
      <c r="L81" s="43"/>
      <c r="M81" s="43"/>
      <c r="N81" s="43"/>
      <c r="Q81" s="43"/>
      <c r="R81" s="43"/>
    </row>
    <row r="82" spans="2:18" x14ac:dyDescent="0.25">
      <c r="C82" s="24"/>
      <c r="H82" s="43"/>
      <c r="I82" s="44"/>
      <c r="J82" s="43"/>
      <c r="L82" s="43"/>
      <c r="M82" s="43"/>
      <c r="N82" s="43"/>
      <c r="Q82" s="43"/>
      <c r="R82" s="43"/>
    </row>
    <row r="83" spans="2:18" x14ac:dyDescent="0.25">
      <c r="C83" s="24"/>
      <c r="H83" s="43"/>
      <c r="I83" s="44"/>
      <c r="J83" s="43"/>
      <c r="L83" s="43"/>
      <c r="M83" s="43"/>
      <c r="N83" s="43"/>
      <c r="Q83" s="43"/>
      <c r="R83" s="43"/>
    </row>
    <row r="84" spans="2:18" x14ac:dyDescent="0.25">
      <c r="C84" s="24"/>
      <c r="H84" s="43"/>
      <c r="I84" s="44"/>
      <c r="J84" s="43"/>
      <c r="L84" s="43"/>
      <c r="M84" s="43"/>
      <c r="N84" s="43"/>
      <c r="Q84" s="43"/>
      <c r="R84" s="43"/>
    </row>
    <row r="85" spans="2:18" x14ac:dyDescent="0.25">
      <c r="C85" s="24"/>
      <c r="H85" s="43"/>
      <c r="I85" s="44"/>
      <c r="J85" s="43"/>
      <c r="L85" s="43"/>
      <c r="M85" s="43"/>
      <c r="N85" s="43"/>
      <c r="Q85" s="43"/>
      <c r="R85" s="43"/>
    </row>
    <row r="86" spans="2:18" x14ac:dyDescent="0.25">
      <c r="C86" s="24"/>
      <c r="H86" s="43"/>
      <c r="I86" s="44"/>
      <c r="J86" s="43"/>
      <c r="L86" s="43"/>
      <c r="M86" s="43"/>
      <c r="N86" s="43"/>
      <c r="Q86" s="43"/>
      <c r="R86" s="43"/>
    </row>
    <row r="87" spans="2:18" x14ac:dyDescent="0.25">
      <c r="C87" s="24"/>
      <c r="H87" s="43"/>
      <c r="I87" s="44"/>
      <c r="J87" s="43"/>
      <c r="L87" s="43"/>
      <c r="M87" s="43"/>
      <c r="N87" s="43"/>
      <c r="Q87" s="43"/>
      <c r="R87" s="43"/>
    </row>
    <row r="88" spans="2:18" x14ac:dyDescent="0.25">
      <c r="C88" s="24"/>
      <c r="H88" s="43"/>
      <c r="I88" s="44"/>
      <c r="J88" s="43"/>
      <c r="L88" s="43"/>
      <c r="M88" s="43"/>
      <c r="N88" s="43"/>
      <c r="Q88" s="43"/>
      <c r="R88" s="43"/>
    </row>
    <row r="89" spans="2:18" x14ac:dyDescent="0.25">
      <c r="C89" s="24"/>
      <c r="H89" s="43"/>
      <c r="I89" s="44"/>
      <c r="J89" s="43"/>
      <c r="L89" s="43"/>
      <c r="M89" s="43"/>
      <c r="N89" s="43"/>
      <c r="Q89" s="43"/>
      <c r="R89" s="43"/>
    </row>
    <row r="90" spans="2:18" x14ac:dyDescent="0.25">
      <c r="C90" s="24"/>
      <c r="H90" s="43"/>
      <c r="I90" s="44"/>
      <c r="J90" s="43"/>
      <c r="L90" s="43"/>
      <c r="M90" s="43"/>
      <c r="N90" s="43"/>
      <c r="Q90" s="43"/>
      <c r="R90" s="43"/>
    </row>
    <row r="91" spans="2:18" x14ac:dyDescent="0.25">
      <c r="B91" s="24" t="str">
        <f>IF(Lang="Français","Textes pour les listes déroulantes et graphiques :",IF(Lang="English","Texts for drop-down lists &amp; graphics :",""))</f>
        <v>Textes pour les listes déroulantes et graphiques :</v>
      </c>
      <c r="H91" s="43"/>
      <c r="I91" s="44"/>
      <c r="J91" s="43"/>
      <c r="L91" s="43"/>
      <c r="M91" s="43"/>
      <c r="N91" s="43"/>
      <c r="Q91" s="43"/>
      <c r="R91" s="43"/>
    </row>
    <row r="92" spans="2:18" x14ac:dyDescent="0.25">
      <c r="H92" s="43"/>
      <c r="I92" s="44"/>
      <c r="J92" s="43"/>
      <c r="L92" s="43"/>
      <c r="M92" s="43"/>
      <c r="N92" s="43"/>
      <c r="Q92" s="43"/>
      <c r="R92" s="43"/>
    </row>
    <row r="93" spans="2:18" x14ac:dyDescent="0.25">
      <c r="B93" s="26" t="s">
        <v>1</v>
      </c>
      <c r="H93" s="43"/>
      <c r="I93" s="44"/>
      <c r="J93" s="43"/>
      <c r="L93" s="43"/>
      <c r="M93" s="43"/>
      <c r="N93" s="43"/>
      <c r="Q93" s="43"/>
      <c r="R93" s="43"/>
    </row>
    <row r="94" spans="2:18" x14ac:dyDescent="0.25">
      <c r="B94" s="26" t="s">
        <v>68</v>
      </c>
      <c r="H94" s="43"/>
      <c r="I94" s="44"/>
      <c r="J94" s="43"/>
      <c r="L94" s="43"/>
      <c r="M94" s="43"/>
      <c r="N94" s="43"/>
      <c r="Q94" s="43"/>
      <c r="R94" s="43"/>
    </row>
    <row r="95" spans="2:18" x14ac:dyDescent="0.25">
      <c r="B95" s="26"/>
      <c r="H95" s="43"/>
      <c r="I95" s="44"/>
      <c r="J95" s="43"/>
      <c r="L95" s="43"/>
      <c r="M95" s="43"/>
      <c r="N95" s="43"/>
      <c r="Q95" s="43"/>
      <c r="R95" s="43"/>
    </row>
    <row r="96" spans="2:18" x14ac:dyDescent="0.25">
      <c r="B96" s="26" t="str">
        <f>IF(Lang="Français","Fusée à eau  ",IF(Lang="English","Water-rocket  ",""))</f>
        <v xml:space="preserve">Fusée à eau  </v>
      </c>
      <c r="H96" s="43"/>
      <c r="I96" s="44"/>
      <c r="J96" s="43"/>
      <c r="L96" s="43"/>
      <c r="M96" s="43"/>
      <c r="N96" s="43"/>
      <c r="Q96" s="43"/>
      <c r="R96" s="43"/>
    </row>
    <row r="97" spans="2:18" x14ac:dyDescent="0.25">
      <c r="B97" s="26" t="str">
        <f>IF(Lang="Français","Microfusée",IF(Lang="English","Micro-rocket",""))</f>
        <v>Microfusée</v>
      </c>
      <c r="H97" s="43"/>
      <c r="I97" s="44"/>
      <c r="J97" s="43"/>
      <c r="L97" s="43"/>
      <c r="M97" s="43"/>
      <c r="N97" s="43"/>
      <c r="Q97" s="43"/>
      <c r="R97" s="43"/>
    </row>
    <row r="98" spans="2:18" x14ac:dyDescent="0.25">
      <c r="B98" s="26" t="str">
        <f>IF(Lang="Français","Minifusée",IF(Lang="English","Mini-rocket",""))</f>
        <v>Minifusée</v>
      </c>
      <c r="H98" s="43"/>
      <c r="I98" s="44"/>
      <c r="J98" s="43"/>
      <c r="L98" s="43"/>
      <c r="M98" s="43"/>
      <c r="N98" s="43"/>
      <c r="Q98" s="43"/>
      <c r="R98" s="43"/>
    </row>
    <row r="99" spans="2:18" x14ac:dyDescent="0.25">
      <c r="B99" s="26" t="s">
        <v>399</v>
      </c>
      <c r="H99" s="43"/>
      <c r="I99" s="44"/>
      <c r="J99" s="43"/>
      <c r="L99" s="43"/>
      <c r="M99" s="43"/>
      <c r="N99" s="43"/>
      <c r="Q99" s="43"/>
      <c r="R99" s="43"/>
    </row>
    <row r="100" spans="2:18" x14ac:dyDescent="0.25">
      <c r="B100" s="26" t="str">
        <f>IF(Lang="Français","Fusée expérimentale.",IF(Lang="English","Experimental Rocket.",""))</f>
        <v>Fusée expérimentale.</v>
      </c>
      <c r="H100" s="43"/>
      <c r="I100" s="44"/>
      <c r="J100" s="43"/>
      <c r="L100" s="43"/>
      <c r="M100" s="43"/>
      <c r="N100" s="43"/>
      <c r="Q100" s="43"/>
      <c r="R100" s="43"/>
    </row>
    <row r="101" spans="2:18" x14ac:dyDescent="0.25">
      <c r="B101" s="26" t="s">
        <v>400</v>
      </c>
      <c r="H101" s="43"/>
      <c r="I101" s="44"/>
      <c r="J101" s="43"/>
      <c r="L101" s="43"/>
      <c r="M101" s="43"/>
      <c r="N101" s="43"/>
      <c r="Q101" s="43"/>
      <c r="R101" s="43"/>
    </row>
    <row r="102" spans="2:18" x14ac:dyDescent="0.25">
      <c r="B102" s="26"/>
      <c r="H102" s="43"/>
      <c r="I102" s="44"/>
      <c r="J102" s="43"/>
      <c r="L102" s="43"/>
      <c r="M102" s="43"/>
      <c r="N102" s="43"/>
      <c r="Q102" s="43"/>
      <c r="R102" s="43"/>
    </row>
    <row r="103" spans="2:18" x14ac:dyDescent="0.25">
      <c r="B103" s="26" t="str">
        <f>IF(Lang="Français","sans propu",IF(Lang="English","without motor",""))</f>
        <v>sans propu</v>
      </c>
      <c r="H103" s="43"/>
      <c r="I103" s="44"/>
      <c r="J103" s="43"/>
      <c r="L103" s="43"/>
      <c r="M103" s="43"/>
      <c r="N103" s="43"/>
      <c r="Q103" s="43"/>
      <c r="R103" s="43"/>
    </row>
    <row r="104" spans="2:18" x14ac:dyDescent="0.25">
      <c r="B104" s="26" t="str">
        <f>IF(Lang="Français","avec propu vide",IF(Lang="English","with empty motor",""))</f>
        <v>avec propu vide</v>
      </c>
      <c r="H104" s="43"/>
      <c r="I104" s="44"/>
      <c r="J104" s="43"/>
      <c r="L104" s="43"/>
      <c r="M104" s="43"/>
      <c r="N104" s="43"/>
      <c r="Q104" s="43"/>
      <c r="R104" s="43"/>
    </row>
    <row r="105" spans="2:18" x14ac:dyDescent="0.25">
      <c r="B105" s="26" t="str">
        <f>IF(Lang="Français","avec propu plein",IF(Lang="English","with loaded motor",""))</f>
        <v>avec propu plein</v>
      </c>
      <c r="H105" s="43"/>
      <c r="I105" s="44"/>
      <c r="J105" s="43"/>
      <c r="L105" s="43"/>
      <c r="M105" s="43"/>
      <c r="N105" s="43"/>
      <c r="Q105" s="43"/>
      <c r="R105" s="43"/>
    </row>
    <row r="106" spans="2:18" x14ac:dyDescent="0.25">
      <c r="B106" s="26"/>
      <c r="H106" s="43"/>
      <c r="I106" s="44"/>
      <c r="J106" s="43"/>
      <c r="L106" s="43"/>
      <c r="M106" s="43"/>
      <c r="N106" s="43"/>
      <c r="Q106" s="43"/>
      <c r="R106" s="43"/>
    </row>
    <row r="107" spans="2:18" x14ac:dyDescent="0.25">
      <c r="B107" s="26" t="str">
        <f>IF(Lang="Français","Parabolique (arrondie)",IF(Lang="English","Parabola (rounded)",""))</f>
        <v>Parabolique (arrondie)</v>
      </c>
      <c r="H107" s="43"/>
      <c r="I107" s="44"/>
      <c r="J107" s="43"/>
      <c r="L107" s="43"/>
      <c r="M107" s="43"/>
      <c r="N107" s="43"/>
      <c r="Q107" s="43"/>
      <c r="R107" s="43"/>
    </row>
    <row r="108" spans="2:18" x14ac:dyDescent="0.25">
      <c r="B108" s="26" t="str">
        <f>IF(Lang="Français","Ogivale (pointue)",IF(Lang="English","Ogive (sharp)",""))</f>
        <v>Ogivale (pointue)</v>
      </c>
      <c r="H108" s="43"/>
      <c r="I108" s="44"/>
      <c r="J108" s="43"/>
      <c r="L108" s="43"/>
      <c r="M108" s="43"/>
      <c r="N108" s="43"/>
      <c r="Q108" s="43"/>
      <c r="R108" s="43"/>
    </row>
    <row r="109" spans="2:18" x14ac:dyDescent="0.25">
      <c r="B109" s="26" t="str">
        <f>IF(Lang="Français","Conique (droite)",IF(Lang="English","Cone (straight)",""))</f>
        <v>Conique (droite)</v>
      </c>
      <c r="H109" s="43"/>
      <c r="I109" s="44"/>
      <c r="J109" s="43"/>
      <c r="L109" s="43"/>
      <c r="M109" s="43"/>
      <c r="N109" s="43"/>
      <c r="Q109" s="43"/>
      <c r="R109" s="43"/>
    </row>
    <row r="110" spans="2:18" x14ac:dyDescent="0.25">
      <c r="B110" s="38"/>
      <c r="H110" s="43"/>
      <c r="I110" s="44"/>
      <c r="J110" s="43"/>
      <c r="L110" s="43"/>
      <c r="M110" s="43"/>
      <c r="N110" s="43"/>
      <c r="Q110" s="43"/>
      <c r="R110" s="43"/>
    </row>
    <row r="111" spans="2:18" x14ac:dyDescent="0.25">
      <c r="B111" s="38" t="s">
        <v>426</v>
      </c>
      <c r="H111" s="43"/>
      <c r="I111" s="44"/>
      <c r="J111" s="43"/>
      <c r="L111" s="43"/>
      <c r="M111" s="43"/>
      <c r="N111" s="43"/>
      <c r="Q111" s="43"/>
      <c r="R111" s="43"/>
    </row>
    <row r="112" spans="2:18" x14ac:dyDescent="0.25">
      <c r="B112" s="38" t="s">
        <v>427</v>
      </c>
      <c r="H112" s="43"/>
      <c r="I112" s="44"/>
      <c r="J112" s="43"/>
      <c r="L112" s="43"/>
      <c r="M112" s="43"/>
      <c r="N112" s="43"/>
      <c r="Q112" s="43"/>
      <c r="R112" s="43"/>
    </row>
    <row r="113" spans="2:18" x14ac:dyDescent="0.25">
      <c r="B113" s="38"/>
      <c r="H113" s="43"/>
      <c r="I113" s="44"/>
      <c r="J113" s="43"/>
      <c r="L113" s="43"/>
      <c r="M113" s="43"/>
      <c r="N113" s="43"/>
      <c r="Q113" s="43"/>
      <c r="R113" s="43"/>
    </row>
    <row r="114" spans="2:18" x14ac:dyDescent="0.25">
      <c r="B114" s="38" t="str">
        <f>IF(Lang="Français","Fusée mono-diamètre,",IF(Lang="English","Mono-diameter rocket,",""))</f>
        <v>Fusée mono-diamètre,</v>
      </c>
      <c r="H114" s="43"/>
      <c r="I114" s="44"/>
      <c r="J114" s="43"/>
      <c r="L114" s="43"/>
      <c r="M114" s="43"/>
      <c r="N114" s="43"/>
      <c r="Q114" s="43"/>
      <c r="R114" s="43"/>
    </row>
    <row r="115" spans="2:18" x14ac:dyDescent="0.25">
      <c r="B115" s="38" t="str">
        <f>IF(Lang="Français","Plusieurs diamètres.",IF(Lang="English","Many diameters rocket.",""))</f>
        <v>Plusieurs diamètres.</v>
      </c>
      <c r="H115" s="43"/>
      <c r="I115" s="44"/>
      <c r="J115" s="43"/>
      <c r="L115" s="43"/>
      <c r="M115" s="43"/>
      <c r="N115" s="43"/>
      <c r="Q115" s="43"/>
      <c r="R115" s="43"/>
    </row>
    <row r="116" spans="2:18" x14ac:dyDescent="0.25">
      <c r="B116" s="38"/>
      <c r="H116" s="43"/>
      <c r="I116" s="44"/>
      <c r="J116" s="43"/>
      <c r="L116" s="43"/>
      <c r="M116" s="43"/>
      <c r="N116" s="43"/>
      <c r="Q116" s="43"/>
      <c r="R116" s="43"/>
    </row>
    <row r="117" spans="2:18" x14ac:dyDescent="0.25">
      <c r="B117" s="223" t="str">
        <f>IF(Lang="Français","Diagramme des critères de stabilité","Stability criterions diagram")</f>
        <v>Diagramme des critères de stabilité</v>
      </c>
      <c r="H117" s="43"/>
      <c r="I117" s="44"/>
      <c r="J117" s="43"/>
      <c r="L117" s="43"/>
      <c r="M117" s="43"/>
      <c r="N117" s="43"/>
      <c r="Q117" s="43"/>
      <c r="R117" s="43"/>
    </row>
    <row r="118" spans="2:18" x14ac:dyDescent="0.25">
      <c r="B118" s="223" t="str">
        <f>IF(Lang="Français","Marge Statique (MS)","Static Margin")</f>
        <v>Marge Statique (MS)</v>
      </c>
      <c r="H118" s="43"/>
      <c r="I118" s="44"/>
      <c r="J118" s="43"/>
      <c r="L118" s="43"/>
      <c r="M118" s="43"/>
      <c r="N118" s="43"/>
      <c r="Q118" s="43"/>
      <c r="R118" s="43"/>
    </row>
    <row r="119" spans="2:18" x14ac:dyDescent="0.25">
      <c r="B119" s="223" t="str">
        <f>IF(Lang="Français","Portance Cnα","Lift Cnα")</f>
        <v>Portance Cnα</v>
      </c>
      <c r="H119" s="43"/>
      <c r="I119" s="44"/>
      <c r="J119" s="43"/>
      <c r="L119" s="43"/>
      <c r="M119" s="43"/>
      <c r="N119" s="43"/>
      <c r="Q119" s="43"/>
      <c r="R119" s="43"/>
    </row>
    <row r="120" spans="2:18" x14ac:dyDescent="0.25">
      <c r="B120" s="38"/>
      <c r="H120" s="43"/>
      <c r="I120" s="44"/>
      <c r="J120" s="43"/>
      <c r="L120" s="43"/>
      <c r="M120" s="43"/>
      <c r="N120" s="43"/>
      <c r="Q120" s="43"/>
      <c r="R120" s="43"/>
    </row>
    <row r="121" spans="2:18" x14ac:dyDescent="0.25">
      <c r="B121" s="24" t="str">
        <f>IF(Lang="Français","Données pour les graphiques :",IF(Lang="English","Data for plots:",""))</f>
        <v>Données pour les graphiques :</v>
      </c>
      <c r="H121" s="43"/>
      <c r="I121" s="44"/>
      <c r="J121" s="43"/>
      <c r="L121" s="43"/>
      <c r="M121" s="43"/>
      <c r="N121" s="43"/>
      <c r="Q121" s="43"/>
      <c r="R121" s="43"/>
    </row>
    <row r="122" spans="2:18" x14ac:dyDescent="0.25">
      <c r="H122" s="43"/>
      <c r="I122" s="44"/>
      <c r="J122" s="43"/>
      <c r="L122" s="43"/>
      <c r="M122" s="43"/>
      <c r="N122" s="43"/>
      <c r="Q122" s="43"/>
      <c r="R122" s="43"/>
    </row>
    <row r="123" spans="2:18" x14ac:dyDescent="0.25">
      <c r="B123" s="45"/>
      <c r="C123" s="45" t="s">
        <v>69</v>
      </c>
      <c r="D123" s="45" t="s">
        <v>70</v>
      </c>
      <c r="E123" s="92" t="s">
        <v>71</v>
      </c>
      <c r="K123" s="45"/>
      <c r="R123" s="43"/>
    </row>
    <row r="124" spans="2:18" x14ac:dyDescent="0.25">
      <c r="B124" s="45" t="s">
        <v>73</v>
      </c>
      <c r="C124" s="46">
        <f>-Long_ogive</f>
        <v>-250</v>
      </c>
      <c r="D124" s="46">
        <v>0</v>
      </c>
      <c r="E124" s="93">
        <f t="shared" ref="E124:E136" si="0">-D124</f>
        <v>0</v>
      </c>
      <c r="K124" s="46"/>
    </row>
    <row r="125" spans="2:18" x14ac:dyDescent="0.25">
      <c r="B125" s="45" t="s">
        <v>73</v>
      </c>
      <c r="C125" s="46">
        <f>-Long_ogive</f>
        <v>-250</v>
      </c>
      <c r="D125" s="46">
        <f>D_og/2</f>
        <v>50</v>
      </c>
      <c r="E125" s="93">
        <f t="shared" si="0"/>
        <v>-50</v>
      </c>
      <c r="K125" s="46"/>
    </row>
    <row r="126" spans="2:18" x14ac:dyDescent="0.25">
      <c r="B126" s="45" t="s">
        <v>74</v>
      </c>
      <c r="C126" s="46">
        <f>IF(AND(RIGHT(Nb_diam,1)=".",X_j), -X_j, C125 )</f>
        <v>-250</v>
      </c>
      <c r="D126" s="46">
        <f>IF(AND(RIGHT(Nb_diam,1)=".",X_j), D1j/2, D125 )</f>
        <v>50</v>
      </c>
      <c r="E126" s="93">
        <f t="shared" si="0"/>
        <v>-50</v>
      </c>
      <c r="K126" s="46"/>
    </row>
    <row r="127" spans="2:18" x14ac:dyDescent="0.25">
      <c r="B127" s="45" t="s">
        <v>75</v>
      </c>
      <c r="C127" s="46">
        <f>IF(AND(RIGHT(Nb_diam,1)=".",X_j), -X_j-l_j, C126 )</f>
        <v>-250</v>
      </c>
      <c r="D127" s="46">
        <f>IF(AND(RIGHT(Nb_diam,1)=".",X_j), D2j/2, D126 )</f>
        <v>50</v>
      </c>
      <c r="E127" s="93">
        <f t="shared" si="0"/>
        <v>-50</v>
      </c>
      <c r="K127" s="46"/>
    </row>
    <row r="128" spans="2:18" x14ac:dyDescent="0.25">
      <c r="B128" s="45" t="s">
        <v>76</v>
      </c>
      <c r="C128" s="46">
        <f>IF(AND(RIGHT(Nb_diam,1)=".",X_r), -X_r, C127 )</f>
        <v>-250</v>
      </c>
      <c r="D128" s="46">
        <f>IF(AND(RIGHT(Nb_diam,1)=".",X_r), D1r/2, D127 )</f>
        <v>50</v>
      </c>
      <c r="E128" s="93">
        <f t="shared" si="0"/>
        <v>-50</v>
      </c>
      <c r="K128" s="46"/>
    </row>
    <row r="129" spans="2:11" x14ac:dyDescent="0.25">
      <c r="B129" s="45" t="s">
        <v>77</v>
      </c>
      <c r="C129" s="46">
        <f>IF(AND(RIGHT(Nb_diam,1)=".",X_r), -X_r-l_r, C128 )</f>
        <v>-250</v>
      </c>
      <c r="D129" s="46">
        <f>IF(AND(RIGHT(Nb_diam,1)=".",X_r), D2r/2, D128 )</f>
        <v>50</v>
      </c>
      <c r="E129" s="93">
        <f t="shared" si="0"/>
        <v>-50</v>
      </c>
      <c r="K129" s="46"/>
    </row>
    <row r="130" spans="2:11" x14ac:dyDescent="0.25">
      <c r="B130" s="45" t="s">
        <v>78</v>
      </c>
      <c r="C130" s="46">
        <f>-Long_tot</f>
        <v>-1755</v>
      </c>
      <c r="D130" s="46">
        <f>D129</f>
        <v>50</v>
      </c>
      <c r="E130" s="93">
        <f t="shared" si="0"/>
        <v>-50</v>
      </c>
      <c r="K130" s="46"/>
    </row>
    <row r="131" spans="2:11" x14ac:dyDescent="0.25">
      <c r="B131" s="45" t="s">
        <v>78</v>
      </c>
      <c r="C131" s="46">
        <f>-Long_tot</f>
        <v>-1755</v>
      </c>
      <c r="D131" s="46">
        <v>0</v>
      </c>
      <c r="E131" s="93">
        <f t="shared" si="0"/>
        <v>0</v>
      </c>
      <c r="K131" s="46"/>
    </row>
    <row r="132" spans="2:11" x14ac:dyDescent="0.25">
      <c r="B132" s="183" t="s">
        <v>79</v>
      </c>
      <c r="C132" s="197">
        <f>-X_ail+m_ail</f>
        <v>-1505</v>
      </c>
      <c r="D132" s="197">
        <f>D_ail/2</f>
        <v>50</v>
      </c>
      <c r="E132" s="198">
        <f t="shared" si="0"/>
        <v>-50</v>
      </c>
      <c r="K132" s="46"/>
    </row>
    <row r="133" spans="2:11" x14ac:dyDescent="0.25">
      <c r="B133" s="185" t="s">
        <v>80</v>
      </c>
      <c r="C133" s="46">
        <f>-X_ail+m_ail-p_ail</f>
        <v>-1705</v>
      </c>
      <c r="D133" s="46">
        <f>D_ail/2+E_ail</f>
        <v>210</v>
      </c>
      <c r="E133" s="199">
        <f t="shared" si="0"/>
        <v>-210</v>
      </c>
      <c r="K133" s="46"/>
    </row>
    <row r="134" spans="2:11" x14ac:dyDescent="0.25">
      <c r="B134" s="185" t="s">
        <v>81</v>
      </c>
      <c r="C134" s="46">
        <f>-X_ail+m_ail-p_ail-n_ail</f>
        <v>-1825</v>
      </c>
      <c r="D134" s="46">
        <f>D_ail/2+E_ail</f>
        <v>210</v>
      </c>
      <c r="E134" s="199">
        <f t="shared" si="0"/>
        <v>-210</v>
      </c>
      <c r="K134" s="46"/>
    </row>
    <row r="135" spans="2:11" x14ac:dyDescent="0.25">
      <c r="B135" s="185" t="s">
        <v>82</v>
      </c>
      <c r="C135" s="46">
        <f>-X_ail</f>
        <v>-1755</v>
      </c>
      <c r="D135" s="46">
        <f>D_ail/2</f>
        <v>50</v>
      </c>
      <c r="E135" s="199">
        <f t="shared" si="0"/>
        <v>-50</v>
      </c>
      <c r="K135" s="46"/>
    </row>
    <row r="136" spans="2:11" x14ac:dyDescent="0.25">
      <c r="B136" s="187" t="s">
        <v>79</v>
      </c>
      <c r="C136" s="200">
        <f>-X_ail+m_ail</f>
        <v>-1505</v>
      </c>
      <c r="D136" s="200">
        <f>D_ail/2</f>
        <v>50</v>
      </c>
      <c r="E136" s="201">
        <f t="shared" si="0"/>
        <v>-50</v>
      </c>
      <c r="K136" s="46"/>
    </row>
    <row r="137" spans="2:11" x14ac:dyDescent="0.25">
      <c r="B137" s="192" t="str">
        <f>IF(E_ail&gt;0,IF(Lang="Français","Envergure","Span"),"")</f>
        <v>Envergure</v>
      </c>
      <c r="C137" s="197">
        <f>MIN(-X_ail,-X_ail+m_ail-p_ail-n_ail)-Long_tot/30</f>
        <v>-1883.5</v>
      </c>
      <c r="D137" s="207">
        <f>-D_ail/2-E_ail</f>
        <v>-210</v>
      </c>
      <c r="E137" s="93"/>
      <c r="K137" s="46"/>
    </row>
    <row r="138" spans="2:11" x14ac:dyDescent="0.25">
      <c r="B138" s="195" t="s">
        <v>167</v>
      </c>
      <c r="C138" s="46">
        <f>MIN(-X_ail,-X_ail+m_ail-p_ail-n_ail)-Long_tot/30</f>
        <v>-1883.5</v>
      </c>
      <c r="D138" s="208">
        <f>-D_ail/2-E_ail/2</f>
        <v>-130</v>
      </c>
      <c r="E138" s="93"/>
      <c r="K138" s="46"/>
    </row>
    <row r="139" spans="2:11" x14ac:dyDescent="0.25">
      <c r="B139" s="212" t="s">
        <v>163</v>
      </c>
      <c r="C139" s="200">
        <f>MIN(-X_ail,-X_ail+m_ail-p_ail-n_ail)-Long_tot/30</f>
        <v>-1883.5</v>
      </c>
      <c r="D139" s="209">
        <f>-D_ail/2</f>
        <v>-50</v>
      </c>
      <c r="E139" s="93"/>
      <c r="K139" s="46"/>
    </row>
    <row r="140" spans="2:11" x14ac:dyDescent="0.25">
      <c r="B140" s="192" t="str">
        <f>IF(Lang="Français","Emplanture","Root edge")</f>
        <v>Emplanture</v>
      </c>
      <c r="C140" s="197">
        <f>-X_ail+m_ail</f>
        <v>-1505</v>
      </c>
      <c r="D140" s="207">
        <f>D_ail/2+E_ail+Long_tot/20</f>
        <v>297.75</v>
      </c>
      <c r="E140" s="93"/>
      <c r="K140" s="46"/>
    </row>
    <row r="141" spans="2:11" x14ac:dyDescent="0.25">
      <c r="B141" s="195" t="s">
        <v>169</v>
      </c>
      <c r="C141" s="46">
        <f>-X_ail+m_ail/2</f>
        <v>-1630</v>
      </c>
      <c r="D141" s="208">
        <f>D_ail/2+E_ail+Long_tot/20</f>
        <v>297.75</v>
      </c>
      <c r="E141" s="93"/>
      <c r="K141" s="46"/>
    </row>
    <row r="142" spans="2:11" x14ac:dyDescent="0.25">
      <c r="B142" s="212" t="s">
        <v>170</v>
      </c>
      <c r="C142" s="200">
        <f>-X_ail</f>
        <v>-1755</v>
      </c>
      <c r="D142" s="209">
        <f>D_ail/2+E_ail+Long_tot/20</f>
        <v>297.75</v>
      </c>
      <c r="E142" s="93"/>
      <c r="K142" s="46"/>
    </row>
    <row r="143" spans="2:11" x14ac:dyDescent="0.25">
      <c r="B143" s="192" t="str">
        <f>IF(p_ail&lt;&gt;0,IF(Lang="Français","Flèche","Offset"),"")</f>
        <v>Flèche</v>
      </c>
      <c r="C143" s="197">
        <f>-X_ail+m_ail</f>
        <v>-1505</v>
      </c>
      <c r="D143" s="207">
        <f>-D_ail/2-E_ail-Long_tot/30</f>
        <v>-268.5</v>
      </c>
      <c r="E143" s="93"/>
      <c r="K143" s="46"/>
    </row>
    <row r="144" spans="2:11" x14ac:dyDescent="0.25">
      <c r="B144" s="195" t="s">
        <v>166</v>
      </c>
      <c r="C144" s="46">
        <f>-X_ail+m_ail-p_ail/2</f>
        <v>-1605</v>
      </c>
      <c r="D144" s="208">
        <f>-D_ail/2-E_ail-Long_tot/30</f>
        <v>-268.5</v>
      </c>
      <c r="E144" s="93"/>
      <c r="K144" s="46"/>
    </row>
    <row r="145" spans="2:11" x14ac:dyDescent="0.25">
      <c r="B145" s="212" t="s">
        <v>164</v>
      </c>
      <c r="C145" s="200">
        <f>-X_ail+m_ail-p_ail</f>
        <v>-1705</v>
      </c>
      <c r="D145" s="209">
        <f>-D_ail/2-E_ail-Long_tot/30</f>
        <v>-268.5</v>
      </c>
      <c r="E145" s="93"/>
      <c r="K145" s="46"/>
    </row>
    <row r="146" spans="2:11" x14ac:dyDescent="0.25">
      <c r="B146" s="192" t="str">
        <f>IF(n_ail&gt;0,IF(Lang="Français","Saumon","Tip edge"),"")</f>
        <v>Saumon</v>
      </c>
      <c r="C146" s="197">
        <f>-X_ail+m_ail-p_ail</f>
        <v>-1705</v>
      </c>
      <c r="D146" s="207">
        <f>-D_ail/2-E_ail-Long_tot/20</f>
        <v>-297.75</v>
      </c>
      <c r="E146" s="93"/>
      <c r="K146" s="46"/>
    </row>
    <row r="147" spans="2:11" x14ac:dyDescent="0.25">
      <c r="B147" s="195" t="s">
        <v>168</v>
      </c>
      <c r="C147" s="46">
        <f>-X_ail+m_ail-p_ail-n_ail/2</f>
        <v>-1765</v>
      </c>
      <c r="D147" s="208">
        <f>-D_ail/2-E_ail-Long_tot/20</f>
        <v>-297.75</v>
      </c>
      <c r="E147" s="93"/>
      <c r="K147" s="46"/>
    </row>
    <row r="148" spans="2:11" x14ac:dyDescent="0.25">
      <c r="B148" s="212" t="s">
        <v>165</v>
      </c>
      <c r="C148" s="200">
        <f>-X_ail+m_ail-p_ail-n_ail</f>
        <v>-1825</v>
      </c>
      <c r="D148" s="209">
        <f>-D_ail/2-E_ail-Long_tot/20</f>
        <v>-297.75</v>
      </c>
      <c r="E148" s="93"/>
      <c r="K148" s="46"/>
    </row>
    <row r="149" spans="2:11" x14ac:dyDescent="0.25">
      <c r="B149" s="183" t="s">
        <v>83</v>
      </c>
      <c r="C149" s="197">
        <f ca="1">-XcgPlein</f>
        <v>-1216.3601484282015</v>
      </c>
      <c r="D149" s="207">
        <v>0</v>
      </c>
      <c r="E149" s="93"/>
      <c r="K149" s="46"/>
    </row>
    <row r="150" spans="2:11" x14ac:dyDescent="0.25">
      <c r="B150" s="187" t="s">
        <v>84</v>
      </c>
      <c r="C150" s="200">
        <f ca="1">-XcgVide</f>
        <v>-1171.740209508461</v>
      </c>
      <c r="D150" s="209">
        <v>0</v>
      </c>
      <c r="E150" s="93"/>
      <c r="K150" s="46"/>
    </row>
    <row r="151" spans="2:11" x14ac:dyDescent="0.25">
      <c r="B151" s="183" t="s">
        <v>85</v>
      </c>
      <c r="C151" s="197">
        <f>-XCp</f>
        <v>-1504.0933911209454</v>
      </c>
      <c r="D151" s="207">
        <v>0</v>
      </c>
      <c r="E151" s="93"/>
      <c r="K151" s="46"/>
    </row>
    <row r="152" spans="2:11" x14ac:dyDescent="0.25">
      <c r="B152" s="187" t="s">
        <v>85</v>
      </c>
      <c r="C152" s="200">
        <f>-XCp</f>
        <v>-1504.0933911209454</v>
      </c>
      <c r="D152" s="209">
        <f>Cn*D_ref/CritCnmin</f>
        <v>148.02052364697087</v>
      </c>
      <c r="E152" s="93"/>
      <c r="K152" s="46"/>
    </row>
    <row r="153" spans="2:11" x14ac:dyDescent="0.25">
      <c r="B153" s="185" t="s">
        <v>424</v>
      </c>
      <c r="C153" s="46">
        <f>-XCp0</f>
        <v>-1504.0933911209454</v>
      </c>
      <c r="D153" s="208">
        <f>Cn0*D_ref/CritCnmin</f>
        <v>148.02052364697087</v>
      </c>
      <c r="E153" s="93"/>
      <c r="K153" s="46"/>
    </row>
    <row r="154" spans="2:11" x14ac:dyDescent="0.25">
      <c r="B154" s="185" t="s">
        <v>424</v>
      </c>
      <c r="C154" s="46">
        <f>-XCp0</f>
        <v>-1504.0933911209454</v>
      </c>
      <c r="D154" s="208">
        <v>0</v>
      </c>
      <c r="E154" s="93"/>
      <c r="K154" s="46"/>
    </row>
    <row r="155" spans="2:11" x14ac:dyDescent="0.25">
      <c r="B155" s="192" t="str">
        <f>IF(n_ail&gt;0,IF(Lang="Français","Marge Statique","Static Margin"),"")</f>
        <v>Marge Statique</v>
      </c>
      <c r="C155" s="197">
        <f ca="1">(-XcgPlein-XcgVide)/2</f>
        <v>-1194.0501789683312</v>
      </c>
      <c r="D155" s="207">
        <f>-D_ail/2-E_ail-Long_tot/20</f>
        <v>-297.75</v>
      </c>
      <c r="E155" s="93"/>
      <c r="K155" s="46"/>
    </row>
    <row r="156" spans="2:11" x14ac:dyDescent="0.25">
      <c r="B156" s="195" t="s">
        <v>171</v>
      </c>
      <c r="C156" s="46">
        <f ca="1">(C155+C157)/2</f>
        <v>-1349.0717850446383</v>
      </c>
      <c r="D156" s="208">
        <f>-D_ail/2-E_ail-Long_tot/20</f>
        <v>-297.75</v>
      </c>
      <c r="E156" s="93"/>
      <c r="K156" s="46"/>
    </row>
    <row r="157" spans="2:11" x14ac:dyDescent="0.25">
      <c r="B157" s="212" t="s">
        <v>172</v>
      </c>
      <c r="C157" s="200">
        <f>-XCp</f>
        <v>-1504.0933911209454</v>
      </c>
      <c r="D157" s="209">
        <f>-D_ail/2-E_ail-Long_tot/20</f>
        <v>-297.75</v>
      </c>
      <c r="E157" s="93"/>
      <c r="K157" s="46"/>
    </row>
    <row r="158" spans="2:11" x14ac:dyDescent="0.25">
      <c r="B158" s="183" t="s">
        <v>86</v>
      </c>
      <c r="C158" s="197">
        <f>IF(LEFT(Type_masquage,1)="M",0,-X_can+m_can)</f>
        <v>0</v>
      </c>
      <c r="D158" s="197">
        <f>IF(LEFT(Type_masquage,1)="M",0,D_ail/2)</f>
        <v>0</v>
      </c>
      <c r="E158" s="198">
        <f t="shared" ref="E158:E167" si="1">-D158</f>
        <v>0</v>
      </c>
      <c r="K158" s="46"/>
    </row>
    <row r="159" spans="2:11" x14ac:dyDescent="0.25">
      <c r="B159" s="185" t="s">
        <v>87</v>
      </c>
      <c r="C159" s="46">
        <f>IF(LEFT(Type_masquage,1)="M",0,-X_can+m_can-p_can)</f>
        <v>0</v>
      </c>
      <c r="D159" s="46">
        <f>IF(LEFT(Type_masquage,1)="M",0,D_ail/2+E_can)</f>
        <v>0</v>
      </c>
      <c r="E159" s="199">
        <f t="shared" si="1"/>
        <v>0</v>
      </c>
      <c r="K159" s="46"/>
    </row>
    <row r="160" spans="2:11" x14ac:dyDescent="0.25">
      <c r="B160" s="185" t="s">
        <v>88</v>
      </c>
      <c r="C160" s="46">
        <f>IF(LEFT(Type_masquage,1)="M",0,-X_can+m_can-p_can-n_can)</f>
        <v>0</v>
      </c>
      <c r="D160" s="46">
        <f>IF(LEFT(Type_masquage,1)="M",0,D_ail/2+E_can)</f>
        <v>0</v>
      </c>
      <c r="E160" s="199">
        <f t="shared" si="1"/>
        <v>0</v>
      </c>
      <c r="K160" s="46"/>
    </row>
    <row r="161" spans="2:11" x14ac:dyDescent="0.25">
      <c r="B161" s="185" t="s">
        <v>89</v>
      </c>
      <c r="C161" s="46">
        <f>IF(LEFT(Type_masquage,1)="M",0,-X_can)</f>
        <v>0</v>
      </c>
      <c r="D161" s="46">
        <f>IF(LEFT(Type_masquage,1)="M",0,D_ail/2)</f>
        <v>0</v>
      </c>
      <c r="E161" s="199">
        <f t="shared" si="1"/>
        <v>0</v>
      </c>
      <c r="K161" s="46"/>
    </row>
    <row r="162" spans="2:11" x14ac:dyDescent="0.25">
      <c r="B162" s="187" t="s">
        <v>86</v>
      </c>
      <c r="C162" s="200">
        <f>IF(LEFT(Type_masquage,1)="M",0,-X_can+m_can)</f>
        <v>0</v>
      </c>
      <c r="D162" s="200">
        <f>IF(LEFT(Type_masquage,1)="M",0,D_ail/2)</f>
        <v>0</v>
      </c>
      <c r="E162" s="201">
        <f t="shared" si="1"/>
        <v>0</v>
      </c>
      <c r="K162" s="46"/>
    </row>
    <row r="163" spans="2:11" x14ac:dyDescent="0.25">
      <c r="B163" s="183" t="s">
        <v>90</v>
      </c>
      <c r="C163" s="197">
        <f>IF(LEFT(Type_masquage,1)="B",-X_int+m_int,0)</f>
        <v>0</v>
      </c>
      <c r="D163" s="197">
        <f>IF(LEFT(Type_masquage,1)="B",D_int/2,0)</f>
        <v>0</v>
      </c>
      <c r="E163" s="198">
        <f t="shared" si="1"/>
        <v>0</v>
      </c>
      <c r="K163" s="46"/>
    </row>
    <row r="164" spans="2:11" x14ac:dyDescent="0.25">
      <c r="B164" s="185" t="s">
        <v>91</v>
      </c>
      <c r="C164" s="46">
        <f>IF(LEFT(Type_masquage,1)="B",-X_int+m_int-p_int,0)</f>
        <v>0</v>
      </c>
      <c r="D164" s="46">
        <f>IF(LEFT(Type_masquage,1)="B",D_int/2+E_int,0)</f>
        <v>0</v>
      </c>
      <c r="E164" s="199">
        <f t="shared" si="1"/>
        <v>0</v>
      </c>
      <c r="K164" s="46"/>
    </row>
    <row r="165" spans="2:11" x14ac:dyDescent="0.25">
      <c r="B165" s="185" t="s">
        <v>92</v>
      </c>
      <c r="C165" s="46">
        <f>IF(LEFT(Type_masquage,1)="B",-X_int+m_int-p_int-n_int,0)</f>
        <v>0</v>
      </c>
      <c r="D165" s="46">
        <f>IF(LEFT(Type_masquage,1)="B",D_int/2+E_int,0)</f>
        <v>0</v>
      </c>
      <c r="E165" s="199">
        <f t="shared" si="1"/>
        <v>0</v>
      </c>
      <c r="K165" s="46"/>
    </row>
    <row r="166" spans="2:11" x14ac:dyDescent="0.25">
      <c r="B166" s="185" t="s">
        <v>93</v>
      </c>
      <c r="C166" s="46">
        <f>IF(LEFT(Type_masquage,1)="B",-X_int,0)</f>
        <v>0</v>
      </c>
      <c r="D166" s="46">
        <f>IF(LEFT(Type_masquage,1)="B",D_int/2,0)</f>
        <v>0</v>
      </c>
      <c r="E166" s="199">
        <f t="shared" si="1"/>
        <v>0</v>
      </c>
      <c r="K166" s="46"/>
    </row>
    <row r="167" spans="2:11" x14ac:dyDescent="0.25">
      <c r="B167" s="187" t="s">
        <v>90</v>
      </c>
      <c r="C167" s="200">
        <f>IF(LEFT(Type_masquage,1)="B",-X_int+m_int,0)</f>
        <v>0</v>
      </c>
      <c r="D167" s="200">
        <f>IF(LEFT(Type_masquage,1)="B",D_int/2,0)</f>
        <v>0</v>
      </c>
      <c r="E167" s="201">
        <f t="shared" si="1"/>
        <v>0</v>
      </c>
      <c r="K167" s="46"/>
    </row>
    <row r="168" spans="2:11" x14ac:dyDescent="0.25">
      <c r="B168" s="45" t="s">
        <v>94</v>
      </c>
      <c r="C168" s="46">
        <f>-MAX(Long_tot, X_ail-m_ail+p_ail+n_ail, (E_ail+D_ail/2)*3.2)*1.01</f>
        <v>-1843.25</v>
      </c>
      <c r="D168" s="46">
        <f>MAX(E_ail+D_ail/2, Long_tot/3)</f>
        <v>585</v>
      </c>
      <c r="E168" s="93"/>
      <c r="K168" s="46"/>
    </row>
    <row r="169" spans="2:11" x14ac:dyDescent="0.25">
      <c r="B169" s="45" t="s">
        <v>94</v>
      </c>
      <c r="C169" s="46">
        <f>C168</f>
        <v>-1843.25</v>
      </c>
      <c r="D169" s="46">
        <f>-D168</f>
        <v>-585</v>
      </c>
      <c r="E169" s="93"/>
      <c r="K169" s="46"/>
    </row>
    <row r="170" spans="2:11" x14ac:dyDescent="0.25">
      <c r="B170" s="183" t="s">
        <v>95</v>
      </c>
      <c r="C170" s="197">
        <f ca="1">-XpropuRef+Long_propu</f>
        <v>-1269</v>
      </c>
      <c r="D170" s="207">
        <f ca="1">-Diam_propu/2</f>
        <v>-37.5</v>
      </c>
      <c r="E170" s="93"/>
      <c r="K170" s="46"/>
    </row>
    <row r="171" spans="2:11" x14ac:dyDescent="0.25">
      <c r="B171" s="185" t="s">
        <v>96</v>
      </c>
      <c r="C171" s="46">
        <f ca="1">-XpropuRef+Long_propu</f>
        <v>-1269</v>
      </c>
      <c r="D171" s="208">
        <f ca="1">Diam_propu/2</f>
        <v>37.5</v>
      </c>
      <c r="E171" s="93"/>
      <c r="K171" s="46"/>
    </row>
    <row r="172" spans="2:11" x14ac:dyDescent="0.25">
      <c r="B172" s="185" t="s">
        <v>97</v>
      </c>
      <c r="C172" s="46">
        <f>-XpropuRef</f>
        <v>-1755</v>
      </c>
      <c r="D172" s="208">
        <f ca="1">Diam_propu/2</f>
        <v>37.5</v>
      </c>
      <c r="E172" s="93"/>
      <c r="K172" s="46"/>
    </row>
    <row r="173" spans="2:11" x14ac:dyDescent="0.25">
      <c r="B173" s="185" t="s">
        <v>98</v>
      </c>
      <c r="C173" s="46">
        <f>-XpropuRef</f>
        <v>-1755</v>
      </c>
      <c r="D173" s="208">
        <f ca="1">-Diam_propu/2</f>
        <v>-37.5</v>
      </c>
      <c r="E173" s="93"/>
      <c r="K173" s="46"/>
    </row>
    <row r="174" spans="2:11" x14ac:dyDescent="0.25">
      <c r="B174" s="187" t="s">
        <v>99</v>
      </c>
      <c r="C174" s="200">
        <f ca="1">-XpropuRef+Long_propu</f>
        <v>-1269</v>
      </c>
      <c r="D174" s="209">
        <f ca="1">-Diam_propu/2</f>
        <v>-37.5</v>
      </c>
      <c r="E174" s="93"/>
      <c r="F174" s="192" t="s">
        <v>160</v>
      </c>
      <c r="G174" s="193" t="s">
        <v>161</v>
      </c>
      <c r="H174" s="194" t="s">
        <v>162</v>
      </c>
      <c r="K174" s="46"/>
    </row>
    <row r="175" spans="2:11" x14ac:dyDescent="0.25">
      <c r="B175" s="183" t="s">
        <v>72</v>
      </c>
      <c r="C175" s="197">
        <v>0</v>
      </c>
      <c r="D175" s="197">
        <v>0</v>
      </c>
      <c r="E175" s="198">
        <f t="shared" ref="E175:E180" si="2">-D175</f>
        <v>0</v>
      </c>
      <c r="F175" s="195">
        <v>0</v>
      </c>
      <c r="G175" s="45">
        <v>0</v>
      </c>
      <c r="H175" s="189">
        <v>0</v>
      </c>
      <c r="K175" s="46"/>
    </row>
    <row r="176" spans="2:11" x14ac:dyDescent="0.25">
      <c r="B176" s="185" t="s">
        <v>73</v>
      </c>
      <c r="C176" s="46">
        <f>-Long_ogive*0.1</f>
        <v>-25</v>
      </c>
      <c r="D176" s="46">
        <f>IF(LEFT(Forme_ogive,5)="Parab",H176,IF(LEFT(Forme_ogive,4)="Ogiv",G176,IF(LEFT(Forme_ogive,3)="Con",F176)))</f>
        <v>10</v>
      </c>
      <c r="E176" s="199">
        <f t="shared" si="2"/>
        <v>-10</v>
      </c>
      <c r="F176" s="185">
        <f>D_og/2*0.1</f>
        <v>5</v>
      </c>
      <c r="G176" s="45">
        <f>D_og/2*0.2</f>
        <v>10</v>
      </c>
      <c r="H176" s="189">
        <f>D_og/2*0.5</f>
        <v>25</v>
      </c>
      <c r="K176" s="46"/>
    </row>
    <row r="177" spans="2:11" x14ac:dyDescent="0.25">
      <c r="B177" s="185" t="s">
        <v>73</v>
      </c>
      <c r="C177" s="46">
        <f>-Long_ogive/4</f>
        <v>-62.5</v>
      </c>
      <c r="D177" s="46">
        <f>IF(LEFT(Forme_ogive,5)="Parab",H177,IF(LEFT(Forme_ogive,4)="Ogiv",G177,IF(LEFT(Forme_ogive,3)="Con",F177)))</f>
        <v>25</v>
      </c>
      <c r="E177" s="199">
        <f t="shared" si="2"/>
        <v>-25</v>
      </c>
      <c r="F177" s="185">
        <f>D_og/2*1/4</f>
        <v>12.5</v>
      </c>
      <c r="G177" s="45">
        <f>D_og/2/2</f>
        <v>25</v>
      </c>
      <c r="H177" s="189">
        <f>D_og/2*0.7</f>
        <v>35</v>
      </c>
      <c r="K177" s="46"/>
    </row>
    <row r="178" spans="2:11" x14ac:dyDescent="0.25">
      <c r="B178" s="185" t="s">
        <v>73</v>
      </c>
      <c r="C178" s="46">
        <f>-Long_ogive/2</f>
        <v>-125</v>
      </c>
      <c r="D178" s="46">
        <f>IF(LEFT(Forme_ogive,5)="Parab",H178,IF(LEFT(Forme_ogive,4)="Ogiv",G178,IF(LEFT(Forme_ogive,3)="Con",F178)))</f>
        <v>37.5</v>
      </c>
      <c r="E178" s="199">
        <f t="shared" si="2"/>
        <v>-37.5</v>
      </c>
      <c r="F178" s="185">
        <f>D_og/2/2</f>
        <v>25</v>
      </c>
      <c r="G178" s="45">
        <f>D_og/2*3/4</f>
        <v>37.5</v>
      </c>
      <c r="H178" s="189">
        <f>D_og/2*0.88</f>
        <v>44</v>
      </c>
      <c r="K178" s="46"/>
    </row>
    <row r="179" spans="2:11" x14ac:dyDescent="0.25">
      <c r="B179" s="185" t="s">
        <v>73</v>
      </c>
      <c r="C179" s="46">
        <f>-Long_ogive*3/4</f>
        <v>-187.5</v>
      </c>
      <c r="D179" s="46">
        <f>IF(LEFT(Forme_ogive,5)="Parab",H179,IF(LEFT(Forme_ogive,4)="Ogiv",G179,IF(LEFT(Forme_ogive,3)="Con",F179)))</f>
        <v>45</v>
      </c>
      <c r="E179" s="199">
        <f t="shared" si="2"/>
        <v>-45</v>
      </c>
      <c r="F179" s="185">
        <f>D_og/2*3/4</f>
        <v>37.5</v>
      </c>
      <c r="G179" s="45">
        <f>D_og/2*0.9</f>
        <v>45</v>
      </c>
      <c r="H179" s="189">
        <f>D_og/2*0.95</f>
        <v>47.5</v>
      </c>
      <c r="K179" s="46"/>
    </row>
    <row r="180" spans="2:11" x14ac:dyDescent="0.25">
      <c r="B180" s="187" t="s">
        <v>73</v>
      </c>
      <c r="C180" s="200">
        <f>-Long_ogive</f>
        <v>-250</v>
      </c>
      <c r="D180" s="200">
        <f>D_og/2</f>
        <v>50</v>
      </c>
      <c r="E180" s="201">
        <f t="shared" si="2"/>
        <v>-50</v>
      </c>
      <c r="F180" s="187">
        <f>D_og/2</f>
        <v>50</v>
      </c>
      <c r="G180" s="196">
        <f>D_og/2</f>
        <v>50</v>
      </c>
      <c r="H180" s="190">
        <f>D_og/2</f>
        <v>50</v>
      </c>
      <c r="K180" s="26"/>
    </row>
    <row r="181" spans="2:11" x14ac:dyDescent="0.25">
      <c r="B181" s="45" t="s">
        <v>100</v>
      </c>
      <c r="C181" s="45" t="s">
        <v>101</v>
      </c>
      <c r="D181" s="183" t="s">
        <v>100</v>
      </c>
      <c r="E181" s="204" t="s">
        <v>101</v>
      </c>
      <c r="K181" s="45"/>
    </row>
    <row r="182" spans="2:11" x14ac:dyDescent="0.25">
      <c r="B182" s="183">
        <v>0</v>
      </c>
      <c r="C182" s="202">
        <f>CritCnmin</f>
        <v>15</v>
      </c>
      <c r="D182" s="185">
        <v>0.5</v>
      </c>
      <c r="E182" s="205">
        <f t="shared" ref="E182:E187" si="3">CritMsCnmin/D182</f>
        <v>80</v>
      </c>
      <c r="K182" s="45"/>
    </row>
    <row r="183" spans="2:11" x14ac:dyDescent="0.25">
      <c r="B183" s="187">
        <v>7</v>
      </c>
      <c r="C183" s="196">
        <f>CritCnmin</f>
        <v>15</v>
      </c>
      <c r="D183" s="185">
        <v>1</v>
      </c>
      <c r="E183" s="205">
        <f t="shared" si="3"/>
        <v>40</v>
      </c>
      <c r="K183" s="45"/>
    </row>
    <row r="184" spans="2:11" x14ac:dyDescent="0.25">
      <c r="B184" s="183">
        <v>0</v>
      </c>
      <c r="C184" s="202">
        <f>CritCnmax</f>
        <v>40</v>
      </c>
      <c r="D184" s="185">
        <v>2</v>
      </c>
      <c r="E184" s="205">
        <f t="shared" si="3"/>
        <v>20</v>
      </c>
      <c r="K184" s="45"/>
    </row>
    <row r="185" spans="2:11" x14ac:dyDescent="0.25">
      <c r="B185" s="187">
        <v>7</v>
      </c>
      <c r="C185" s="196">
        <f>CritCnmax</f>
        <v>40</v>
      </c>
      <c r="D185" s="185">
        <v>3</v>
      </c>
      <c r="E185" s="205">
        <f t="shared" si="3"/>
        <v>13.333333333333334</v>
      </c>
      <c r="K185" s="45"/>
    </row>
    <row r="186" spans="2:11" x14ac:dyDescent="0.25">
      <c r="B186" s="183">
        <f>CritMsmin</f>
        <v>2</v>
      </c>
      <c r="C186" s="202">
        <v>0</v>
      </c>
      <c r="D186" s="185">
        <v>5</v>
      </c>
      <c r="E186" s="205">
        <f t="shared" si="3"/>
        <v>8</v>
      </c>
      <c r="K186" s="45"/>
    </row>
    <row r="187" spans="2:11" x14ac:dyDescent="0.25">
      <c r="B187" s="187">
        <f>CritMsmin</f>
        <v>2</v>
      </c>
      <c r="C187" s="196">
        <v>55</v>
      </c>
      <c r="D187" s="185">
        <v>7</v>
      </c>
      <c r="E187" s="205">
        <f t="shared" si="3"/>
        <v>5.7142857142857144</v>
      </c>
      <c r="K187" s="45"/>
    </row>
    <row r="188" spans="2:11" x14ac:dyDescent="0.25">
      <c r="B188" s="183">
        <f>CritMsmax</f>
        <v>6</v>
      </c>
      <c r="C188" s="202">
        <v>0</v>
      </c>
      <c r="D188" s="185">
        <v>1</v>
      </c>
      <c r="E188" s="205">
        <f t="shared" ref="E188:E193" si="4">CritMsCnmax/D188</f>
        <v>100</v>
      </c>
      <c r="K188" s="45"/>
    </row>
    <row r="189" spans="2:11" x14ac:dyDescent="0.25">
      <c r="B189" s="187">
        <f>CritMsmax</f>
        <v>6</v>
      </c>
      <c r="C189" s="196">
        <v>55</v>
      </c>
      <c r="D189" s="185">
        <v>2</v>
      </c>
      <c r="E189" s="205">
        <f t="shared" si="4"/>
        <v>50</v>
      </c>
      <c r="K189" s="45"/>
    </row>
    <row r="190" spans="2:11" x14ac:dyDescent="0.25">
      <c r="B190" s="191">
        <f ca="1">MS_min</f>
        <v>2.8773324269274396</v>
      </c>
      <c r="C190" s="203">
        <f>Cn</f>
        <v>22.203078547045632</v>
      </c>
      <c r="D190" s="185">
        <v>3</v>
      </c>
      <c r="E190" s="205">
        <f t="shared" si="4"/>
        <v>33.333333333333336</v>
      </c>
      <c r="K190" s="45"/>
    </row>
    <row r="191" spans="2:11" x14ac:dyDescent="0.25">
      <c r="B191" s="514">
        <f ca="1">(XCp0-XcgPlein)/D_ref</f>
        <v>2.8773324269274396</v>
      </c>
      <c r="C191" s="515">
        <f>Cn0</f>
        <v>22.203078547045632</v>
      </c>
      <c r="D191" s="185">
        <v>4</v>
      </c>
      <c r="E191" s="205">
        <f t="shared" si="4"/>
        <v>25</v>
      </c>
      <c r="K191" s="45"/>
    </row>
    <row r="192" spans="2:11" x14ac:dyDescent="0.25">
      <c r="B192" s="514">
        <f ca="1">(XCp0-XcgVide)/D_ref</f>
        <v>3.3235318161248437</v>
      </c>
      <c r="C192" s="515">
        <f>Cn0</f>
        <v>22.203078547045632</v>
      </c>
      <c r="D192" s="185">
        <v>6</v>
      </c>
      <c r="E192" s="205">
        <f t="shared" si="4"/>
        <v>16.666666666666668</v>
      </c>
      <c r="K192" s="45"/>
    </row>
    <row r="193" spans="2:11" x14ac:dyDescent="0.25">
      <c r="B193" s="514">
        <f ca="1">(XCp-XcgVide)/D_ref</f>
        <v>3.3235318161248437</v>
      </c>
      <c r="C193" s="515">
        <f>Cn</f>
        <v>22.203078547045632</v>
      </c>
      <c r="D193" s="187">
        <v>7</v>
      </c>
      <c r="E193" s="206">
        <f t="shared" si="4"/>
        <v>14.285714285714286</v>
      </c>
      <c r="K193" s="45"/>
    </row>
    <row r="194" spans="2:11" x14ac:dyDescent="0.25">
      <c r="B194" s="514">
        <f ca="1">MS_min</f>
        <v>2.8773324269274396</v>
      </c>
      <c r="C194" s="516">
        <f>Cn</f>
        <v>22.203078547045632</v>
      </c>
      <c r="D194" s="45"/>
      <c r="E194" s="92"/>
      <c r="K194" s="45"/>
    </row>
    <row r="195" spans="2:11" x14ac:dyDescent="0.25">
      <c r="B195" s="183">
        <v>0</v>
      </c>
      <c r="C195" s="202">
        <f>(CritCnmin+CritCnmax)/2</f>
        <v>27.5</v>
      </c>
      <c r="D195" s="26"/>
      <c r="E195" s="90"/>
      <c r="K195" s="26"/>
    </row>
    <row r="196" spans="2:11" x14ac:dyDescent="0.25">
      <c r="B196" s="185">
        <f>MAX(CritMsmin,CritMsCnmin/C196)</f>
        <v>2</v>
      </c>
      <c r="C196" s="45">
        <f>(CritCnmin+CritCnmax)/2</f>
        <v>27.5</v>
      </c>
      <c r="D196" s="26"/>
      <c r="E196" s="90"/>
      <c r="K196" s="26"/>
    </row>
    <row r="197" spans="2:11" x14ac:dyDescent="0.25">
      <c r="B197" s="185">
        <f>MIN(CritMsmax,CritMsCnmax/C197)</f>
        <v>3.6363636363636362</v>
      </c>
      <c r="C197" s="189">
        <f>(CritCnmin+CritCnmax)/2</f>
        <v>27.5</v>
      </c>
    </row>
    <row r="198" spans="2:11" x14ac:dyDescent="0.25">
      <c r="B198" s="187">
        <v>7</v>
      </c>
      <c r="C198" s="190">
        <f>(CritCnmin+CritCnmax)/2</f>
        <v>27.5</v>
      </c>
    </row>
    <row r="199" spans="2:11" x14ac:dyDescent="0.25">
      <c r="B199" s="183">
        <f>(CritMsmin+CritMsmax)/2</f>
        <v>4</v>
      </c>
      <c r="C199" s="184">
        <v>0</v>
      </c>
    </row>
    <row r="200" spans="2:11" x14ac:dyDescent="0.25">
      <c r="B200" s="185">
        <f>(CritMsmin+CritMsmax)/2</f>
        <v>4</v>
      </c>
      <c r="C200" s="186">
        <f>MAX(CritCnmin,CritMsCnmin/B200)</f>
        <v>15</v>
      </c>
    </row>
    <row r="201" spans="2:11" x14ac:dyDescent="0.25">
      <c r="B201" s="185">
        <f>(CritMsmin+CritMsmax)/2</f>
        <v>4</v>
      </c>
      <c r="C201" s="186">
        <f>MIN(CritCnmax,CritMsCnmax/B201)</f>
        <v>25</v>
      </c>
    </row>
    <row r="202" spans="2:11" x14ac:dyDescent="0.25">
      <c r="B202" s="187">
        <f>(CritMsmin+CritMsmax)/2</f>
        <v>4</v>
      </c>
      <c r="C202" s="188">
        <v>55</v>
      </c>
    </row>
    <row r="203" spans="2:11" x14ac:dyDescent="0.25">
      <c r="D203" s="475"/>
    </row>
    <row r="204" spans="2:11" x14ac:dyDescent="0.25">
      <c r="B204" s="477" t="s">
        <v>407</v>
      </c>
      <c r="C204" s="31" t="b">
        <f ca="1">(OR(C205:C210))</f>
        <v>1</v>
      </c>
      <c r="D204" s="475"/>
    </row>
    <row r="205" spans="2:11" x14ac:dyDescent="0.25">
      <c r="B205" s="476" t="s">
        <v>404</v>
      </c>
      <c r="C205" s="475" t="b">
        <f ca="1">AND(Type_propu="H2O",RIGHT(Type_fusee,1)=" ")</f>
        <v>0</v>
      </c>
      <c r="D205" s="475"/>
    </row>
    <row r="206" spans="2:11" x14ac:dyDescent="0.25">
      <c r="B206" s="476" t="s">
        <v>119</v>
      </c>
      <c r="C206" s="475" t="b">
        <f ca="1">AND(Type_propu="Fusex",RIGHT(Type_fusee,1)=".")</f>
        <v>1</v>
      </c>
      <c r="D206" s="475"/>
    </row>
    <row r="207" spans="2:11" x14ac:dyDescent="0.25">
      <c r="B207" s="476" t="s">
        <v>405</v>
      </c>
      <c r="C207" s="475" t="b">
        <f ca="1">LEFT(Type_propu,5)=LEFT(Type_fusee,5)</f>
        <v>0</v>
      </c>
      <c r="D207" s="475"/>
    </row>
    <row r="208" spans="2:11" x14ac:dyDescent="0.25">
      <c r="B208" s="476" t="s">
        <v>406</v>
      </c>
      <c r="C208" s="475" t="b">
        <f ca="1">AND(RIGHT(Type_propu,1)="N",LEFT(Type_fusee,4)="Mini")</f>
        <v>0</v>
      </c>
      <c r="D208" s="475"/>
    </row>
    <row r="209" spans="1:3" x14ac:dyDescent="0.25">
      <c r="B209" s="476" t="s">
        <v>408</v>
      </c>
      <c r="C209" s="475" t="b">
        <f ca="1">AND(LEFT(Type_propu,5)="MiniR",LEFT(Type_fusee,1)="R")</f>
        <v>0</v>
      </c>
    </row>
    <row r="210" spans="1:3" x14ac:dyDescent="0.25">
      <c r="B210" s="476" t="s">
        <v>398</v>
      </c>
      <c r="C210" s="475" t="b">
        <f ca="1">AND(LEFT(Type_propu,4)="Mini",LEFT(Type_fusee,1)=",")</f>
        <v>0</v>
      </c>
    </row>
    <row r="223" spans="1:3" x14ac:dyDescent="0.25">
      <c r="A223" s="24" t="s">
        <v>465</v>
      </c>
    </row>
    <row r="226" spans="1:1" x14ac:dyDescent="0.25">
      <c r="A226" s="24" t="s">
        <v>478</v>
      </c>
    </row>
    <row r="228" spans="1:1" x14ac:dyDescent="0.25">
      <c r="A228" s="24" t="s">
        <v>479</v>
      </c>
    </row>
    <row r="230" spans="1:1" x14ac:dyDescent="0.25">
      <c r="A230" s="24" t="s">
        <v>480</v>
      </c>
    </row>
    <row r="232" spans="1:1" x14ac:dyDescent="0.25">
      <c r="A232" s="24" t="s">
        <v>481</v>
      </c>
    </row>
    <row r="233" spans="1:1" x14ac:dyDescent="0.25">
      <c r="A233" s="24" t="s">
        <v>482</v>
      </c>
    </row>
    <row r="234" spans="1:1" x14ac:dyDescent="0.25">
      <c r="A234" s="24" t="s">
        <v>483</v>
      </c>
    </row>
    <row r="235" spans="1:1" x14ac:dyDescent="0.25">
      <c r="A235" s="24" t="s">
        <v>484</v>
      </c>
    </row>
    <row r="236" spans="1:1" x14ac:dyDescent="0.25">
      <c r="A236" s="24" t="s">
        <v>485</v>
      </c>
    </row>
    <row r="237" spans="1:1" x14ac:dyDescent="0.25">
      <c r="A237" s="24" t="s">
        <v>486</v>
      </c>
    </row>
    <row r="238" spans="1:1" x14ac:dyDescent="0.25">
      <c r="A238" s="24" t="s">
        <v>184</v>
      </c>
    </row>
    <row r="239" spans="1:1" x14ac:dyDescent="0.25">
      <c r="A239" s="24" t="s">
        <v>487</v>
      </c>
    </row>
    <row r="240" spans="1:1" x14ac:dyDescent="0.25">
      <c r="A240" s="24" t="s">
        <v>488</v>
      </c>
    </row>
    <row r="241" spans="1:1" x14ac:dyDescent="0.25">
      <c r="A241" s="24" t="s">
        <v>184</v>
      </c>
    </row>
    <row r="242" spans="1:1" x14ac:dyDescent="0.25">
      <c r="A242" s="24" t="s">
        <v>489</v>
      </c>
    </row>
    <row r="244" spans="1:1" x14ac:dyDescent="0.25">
      <c r="A244" s="24" t="s">
        <v>490</v>
      </c>
    </row>
    <row r="246" spans="1:1" x14ac:dyDescent="0.25">
      <c r="A246" s="24" t="s">
        <v>491</v>
      </c>
    </row>
    <row r="248" spans="1:1" x14ac:dyDescent="0.25">
      <c r="A248" s="24" t="s">
        <v>492</v>
      </c>
    </row>
    <row r="249" spans="1:1" x14ac:dyDescent="0.25">
      <c r="A249" s="24" t="s">
        <v>493</v>
      </c>
    </row>
    <row r="250" spans="1:1" x14ac:dyDescent="0.25">
      <c r="A250" s="24" t="s">
        <v>494</v>
      </c>
    </row>
    <row r="251" spans="1:1" x14ac:dyDescent="0.25">
      <c r="A251" s="24" t="s">
        <v>495</v>
      </c>
    </row>
    <row r="252" spans="1:1" x14ac:dyDescent="0.25">
      <c r="A252" s="24" t="s">
        <v>496</v>
      </c>
    </row>
    <row r="254" spans="1:1" x14ac:dyDescent="0.25">
      <c r="A254" s="24" t="s">
        <v>497</v>
      </c>
    </row>
    <row r="255" spans="1:1" x14ac:dyDescent="0.25">
      <c r="A255" s="24" t="s">
        <v>498</v>
      </c>
    </row>
    <row r="256" spans="1:1" x14ac:dyDescent="0.25">
      <c r="A256" s="24" t="s">
        <v>499</v>
      </c>
    </row>
    <row r="257" spans="1:1" x14ac:dyDescent="0.25">
      <c r="A257" s="24" t="s">
        <v>500</v>
      </c>
    </row>
    <row r="258" spans="1:1" x14ac:dyDescent="0.25">
      <c r="A258" s="24" t="s">
        <v>501</v>
      </c>
    </row>
    <row r="261" spans="1:1" x14ac:dyDescent="0.25">
      <c r="A261" s="24" t="s">
        <v>502</v>
      </c>
    </row>
    <row r="262" spans="1:1" x14ac:dyDescent="0.25">
      <c r="A262" s="24" t="s">
        <v>503</v>
      </c>
    </row>
    <row r="263" spans="1:1" x14ac:dyDescent="0.25">
      <c r="A263" s="24" t="s">
        <v>504</v>
      </c>
    </row>
    <row r="264" spans="1:1" x14ac:dyDescent="0.25">
      <c r="A264" s="24" t="s">
        <v>505</v>
      </c>
    </row>
    <row r="265" spans="1:1" x14ac:dyDescent="0.25">
      <c r="A265" s="24" t="s">
        <v>506</v>
      </c>
    </row>
    <row r="267" spans="1:1" x14ac:dyDescent="0.25">
      <c r="A267" s="24" t="s">
        <v>499</v>
      </c>
    </row>
    <row r="268" spans="1:1" x14ac:dyDescent="0.25">
      <c r="A268" s="24" t="s">
        <v>500</v>
      </c>
    </row>
    <row r="269" spans="1:1" x14ac:dyDescent="0.25">
      <c r="A269" s="24" t="s">
        <v>507</v>
      </c>
    </row>
    <row r="272" spans="1:1" x14ac:dyDescent="0.25">
      <c r="A272" s="24" t="s">
        <v>467</v>
      </c>
    </row>
    <row r="273" spans="1:1" x14ac:dyDescent="0.25">
      <c r="A273" s="24" t="s">
        <v>468</v>
      </c>
    </row>
    <row r="275" spans="1:1" x14ac:dyDescent="0.25">
      <c r="A275" s="24" t="s">
        <v>508</v>
      </c>
    </row>
    <row r="277" spans="1:1" x14ac:dyDescent="0.25">
      <c r="A277" s="24" t="s">
        <v>507</v>
      </c>
    </row>
    <row r="280" spans="1:1" x14ac:dyDescent="0.25">
      <c r="A280" s="24" t="s">
        <v>469</v>
      </c>
    </row>
    <row r="281" spans="1:1" x14ac:dyDescent="0.25">
      <c r="A281" s="24" t="s">
        <v>470</v>
      </c>
    </row>
    <row r="282" spans="1:1" x14ac:dyDescent="0.25">
      <c r="A282" s="24" t="s">
        <v>509</v>
      </c>
    </row>
    <row r="283" spans="1:1" x14ac:dyDescent="0.25">
      <c r="A283" s="24" t="s">
        <v>510</v>
      </c>
    </row>
    <row r="284" spans="1:1" x14ac:dyDescent="0.25">
      <c r="A284" s="24" t="s">
        <v>507</v>
      </c>
    </row>
    <row r="285" spans="1:1" x14ac:dyDescent="0.25">
      <c r="A285" s="24" t="s">
        <v>471</v>
      </c>
    </row>
    <row r="287" spans="1:1" x14ac:dyDescent="0.25">
      <c r="A287" s="24" t="s">
        <v>511</v>
      </c>
    </row>
    <row r="288" spans="1:1" x14ac:dyDescent="0.25">
      <c r="A288" s="24" t="s">
        <v>509</v>
      </c>
    </row>
    <row r="289" spans="1:1" x14ac:dyDescent="0.25">
      <c r="A289" s="24" t="s">
        <v>512</v>
      </c>
    </row>
    <row r="291" spans="1:1" x14ac:dyDescent="0.25">
      <c r="A291" s="24" t="s">
        <v>507</v>
      </c>
    </row>
    <row r="294" spans="1:1" x14ac:dyDescent="0.25">
      <c r="A294" s="24" t="s">
        <v>513</v>
      </c>
    </row>
    <row r="295" spans="1:1" x14ac:dyDescent="0.25">
      <c r="A295" s="24" t="s">
        <v>514</v>
      </c>
    </row>
    <row r="296" spans="1:1" x14ac:dyDescent="0.25">
      <c r="A296" s="24" t="s">
        <v>515</v>
      </c>
    </row>
    <row r="298" spans="1:1" x14ac:dyDescent="0.25">
      <c r="A298" s="24" t="s">
        <v>507</v>
      </c>
    </row>
    <row r="301" spans="1:1" x14ac:dyDescent="0.25">
      <c r="A301" s="24" t="s">
        <v>516</v>
      </c>
    </row>
    <row r="302" spans="1:1" x14ac:dyDescent="0.25">
      <c r="A302" s="24" t="s">
        <v>517</v>
      </c>
    </row>
    <row r="304" spans="1:1" x14ac:dyDescent="0.25">
      <c r="A304" s="24" t="s">
        <v>518</v>
      </c>
    </row>
    <row r="305" spans="1:1" x14ac:dyDescent="0.25">
      <c r="A305" s="24" t="s">
        <v>519</v>
      </c>
    </row>
    <row r="306" spans="1:1" x14ac:dyDescent="0.25">
      <c r="A306" s="24" t="s">
        <v>507</v>
      </c>
    </row>
    <row r="309" spans="1:1" x14ac:dyDescent="0.25">
      <c r="A309" s="24" t="s">
        <v>516</v>
      </c>
    </row>
    <row r="310" spans="1:1" x14ac:dyDescent="0.25">
      <c r="A310" s="24" t="s">
        <v>520</v>
      </c>
    </row>
    <row r="311" spans="1:1" x14ac:dyDescent="0.25">
      <c r="A311" s="24" t="s">
        <v>516</v>
      </c>
    </row>
    <row r="312" spans="1:1" x14ac:dyDescent="0.25">
      <c r="A312" s="24" t="s">
        <v>521</v>
      </c>
    </row>
    <row r="314" spans="1:1" x14ac:dyDescent="0.25">
      <c r="A314" s="24" t="s">
        <v>522</v>
      </c>
    </row>
    <row r="316" spans="1:1" x14ac:dyDescent="0.25">
      <c r="A316" s="24" t="s">
        <v>507</v>
      </c>
    </row>
    <row r="319" spans="1:1" x14ac:dyDescent="0.25">
      <c r="A319" s="24" t="s">
        <v>516</v>
      </c>
    </row>
    <row r="320" spans="1:1" x14ac:dyDescent="0.25">
      <c r="A320" s="24" t="s">
        <v>523</v>
      </c>
    </row>
    <row r="321" spans="1:1" x14ac:dyDescent="0.25">
      <c r="A321" s="24" t="s">
        <v>524</v>
      </c>
    </row>
    <row r="322" spans="1:1" x14ac:dyDescent="0.25">
      <c r="A322" s="24" t="s">
        <v>525</v>
      </c>
    </row>
    <row r="324" spans="1:1" x14ac:dyDescent="0.25">
      <c r="A324" s="24" t="s">
        <v>507</v>
      </c>
    </row>
    <row r="326" spans="1:1" x14ac:dyDescent="0.25">
      <c r="A326" s="24" t="s">
        <v>466</v>
      </c>
    </row>
    <row r="329" spans="1:1" x14ac:dyDescent="0.25">
      <c r="A329" s="24" t="s">
        <v>472</v>
      </c>
    </row>
    <row r="330" spans="1:1" x14ac:dyDescent="0.25">
      <c r="A330" s="24" t="s">
        <v>473</v>
      </c>
    </row>
    <row r="331" spans="1:1" x14ac:dyDescent="0.25">
      <c r="A331" s="24" t="s">
        <v>526</v>
      </c>
    </row>
    <row r="332" spans="1:1" x14ac:dyDescent="0.25">
      <c r="A332" s="24" t="s">
        <v>527</v>
      </c>
    </row>
    <row r="333" spans="1:1" x14ac:dyDescent="0.25">
      <c r="A333" s="24" t="s">
        <v>528</v>
      </c>
    </row>
    <row r="334" spans="1:1" x14ac:dyDescent="0.25">
      <c r="A334" s="24" t="s">
        <v>529</v>
      </c>
    </row>
    <row r="335" spans="1:1" x14ac:dyDescent="0.25">
      <c r="A335" s="24" t="s">
        <v>530</v>
      </c>
    </row>
    <row r="336" spans="1:1" x14ac:dyDescent="0.25">
      <c r="A336" s="24" t="s">
        <v>483</v>
      </c>
    </row>
    <row r="337" spans="1:1" x14ac:dyDescent="0.25">
      <c r="A337" s="24" t="s">
        <v>474</v>
      </c>
    </row>
    <row r="340" spans="1:1" x14ac:dyDescent="0.25">
      <c r="A340" s="24" t="s">
        <v>475</v>
      </c>
    </row>
    <row r="342" spans="1:1" x14ac:dyDescent="0.25">
      <c r="A342" s="24" t="s">
        <v>531</v>
      </c>
    </row>
    <row r="343" spans="1:1" x14ac:dyDescent="0.25">
      <c r="A343" s="24" t="s">
        <v>532</v>
      </c>
    </row>
    <row r="344" spans="1:1" x14ac:dyDescent="0.25">
      <c r="A344" s="24" t="s">
        <v>533</v>
      </c>
    </row>
    <row r="345" spans="1:1" x14ac:dyDescent="0.25">
      <c r="A345" s="24" t="s">
        <v>534</v>
      </c>
    </row>
    <row r="346" spans="1:1" x14ac:dyDescent="0.25">
      <c r="A346" s="24" t="s">
        <v>535</v>
      </c>
    </row>
    <row r="347" spans="1:1" x14ac:dyDescent="0.25">
      <c r="A347" s="24" t="s">
        <v>483</v>
      </c>
    </row>
    <row r="348" spans="1:1" x14ac:dyDescent="0.25">
      <c r="A348" s="24" t="s">
        <v>476</v>
      </c>
    </row>
    <row r="349" spans="1:1" x14ac:dyDescent="0.25">
      <c r="A349" s="24" t="s">
        <v>536</v>
      </c>
    </row>
    <row r="350" spans="1:1" x14ac:dyDescent="0.25">
      <c r="A350" s="24" t="s">
        <v>537</v>
      </c>
    </row>
    <row r="352" spans="1:1" x14ac:dyDescent="0.25">
      <c r="A352" s="24" t="s">
        <v>507</v>
      </c>
    </row>
    <row r="355" spans="1:1" x14ac:dyDescent="0.25">
      <c r="A355" s="24" t="s">
        <v>466</v>
      </c>
    </row>
    <row r="361" spans="1:1" x14ac:dyDescent="0.25">
      <c r="A361" s="24" t="s">
        <v>477</v>
      </c>
    </row>
  </sheetData>
  <sheetProtection password="C6AC" sheet="1"/>
  <dataConsolidate/>
  <mergeCells count="56">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 ref="C26:D26"/>
    <mergeCell ref="C18:D18"/>
    <mergeCell ref="C19:D19"/>
    <mergeCell ref="O23:P23"/>
    <mergeCell ref="O24:P24"/>
    <mergeCell ref="C22:D22"/>
    <mergeCell ref="C21:D21"/>
    <mergeCell ref="C23:D23"/>
    <mergeCell ref="C2:D3"/>
    <mergeCell ref="C4:D4"/>
    <mergeCell ref="M22:N22"/>
    <mergeCell ref="M19:N19"/>
    <mergeCell ref="M9:N9"/>
    <mergeCell ref="M7:N7"/>
    <mergeCell ref="M8:N8"/>
    <mergeCell ref="C7:D7"/>
    <mergeCell ref="C10:D10"/>
    <mergeCell ref="M5:N5"/>
    <mergeCell ref="M6:N6"/>
    <mergeCell ref="M20:N20"/>
    <mergeCell ref="N14:O14"/>
    <mergeCell ref="N15:O15"/>
    <mergeCell ref="M17:N17"/>
    <mergeCell ref="C14:D14"/>
    <mergeCell ref="C5:D5"/>
    <mergeCell ref="H26:I26"/>
    <mergeCell ref="C16:D16"/>
    <mergeCell ref="C17:D17"/>
    <mergeCell ref="O21:P21"/>
    <mergeCell ref="M21:N21"/>
    <mergeCell ref="O19:P19"/>
    <mergeCell ref="O22:P22"/>
    <mergeCell ref="C20:D20"/>
    <mergeCell ref="C6:D6"/>
    <mergeCell ref="C13:D13"/>
    <mergeCell ref="C8:D8"/>
    <mergeCell ref="C9:D9"/>
    <mergeCell ref="O20:P20"/>
    <mergeCell ref="M23:N23"/>
    <mergeCell ref="M24:N24"/>
  </mergeCells>
  <phoneticPr fontId="8" type="noConversion"/>
  <conditionalFormatting sqref="B14:D14 B34:C34">
    <cfRule type="expression" dxfId="53" priority="36" stopIfTrue="1">
      <formula>AND(IF(RIGHT(Nb_diam,1)=",",1),IF(LEFT(Type_masquage,1)="M",1))</formula>
    </cfRule>
  </conditionalFormatting>
  <conditionalFormatting sqref="D25:E25 D27:E34 B35:E35 L20:P22">
    <cfRule type="expression" dxfId="52" priority="83" stopIfTrue="1">
      <formula>IF(LEFT(Type_masquage,1)="M",1)</formula>
    </cfRule>
  </conditionalFormatting>
  <conditionalFormatting sqref="H33:I34">
    <cfRule type="expression" dxfId="51" priority="50" stopIfTrue="1">
      <formula>$H$33="STABLE"</formula>
    </cfRule>
  </conditionalFormatting>
  <conditionalFormatting sqref="H27:I27">
    <cfRule type="expression" dxfId="50" priority="47" stopIfTrue="1">
      <formula>OR(Finesse&lt;CritFinessemin,Finesse&gt;CritFinessemax)</formula>
    </cfRule>
  </conditionalFormatting>
  <conditionalFormatting sqref="H28">
    <cfRule type="expression" dxfId="49" priority="46" stopIfTrue="1">
      <formula>OR(Cn&lt;CritCnmin,Cn&gt;CritCnmax)</formula>
    </cfRule>
  </conditionalFormatting>
  <conditionalFormatting sqref="H29">
    <cfRule type="expression" dxfId="48" priority="45" stopIfTrue="1">
      <formula>OR(MS_min&lt;CritMsmin,MS_min&gt;CritMsmax)</formula>
    </cfRule>
  </conditionalFormatting>
  <conditionalFormatting sqref="I29">
    <cfRule type="expression" dxfId="47" priority="44" stopIfTrue="1">
      <formula>OR(MS_max&lt;CritMsmin,MS_max&gt;CritMsmax)</formula>
    </cfRule>
  </conditionalFormatting>
  <conditionalFormatting sqref="H30">
    <cfRule type="expression" dxfId="46" priority="43" stopIfTrue="1">
      <formula>OR(MS_Cn_min&lt;CritMsCnmin,MS_Cn_min&gt;CritMsCnmax)</formula>
    </cfRule>
  </conditionalFormatting>
  <conditionalFormatting sqref="I30">
    <cfRule type="expression" dxfId="45" priority="42" stopIfTrue="1">
      <formula>OR(MS_Cn_max&lt;CritMsCnmin,MS_Cn_max&gt;CritMsCnmax)</formula>
    </cfRule>
  </conditionalFormatting>
  <conditionalFormatting sqref="L23:P24">
    <cfRule type="expression" dxfId="44" priority="64" stopIfTrue="1">
      <formula>IF(RIGHT(Nb_diam,1)=",",1)</formula>
    </cfRule>
  </conditionalFormatting>
  <conditionalFormatting sqref="L6:P9">
    <cfRule type="expression" dxfId="43" priority="48" stopIfTrue="1">
      <formula>IF(RIGHT(Nb_diam,1)=",",1)</formula>
    </cfRule>
  </conditionalFormatting>
  <conditionalFormatting sqref="M5:P5">
    <cfRule type="expression" dxfId="42" priority="38" stopIfTrue="1">
      <formula>IF(RIGHT(Nb_diam,1)=",",1)</formula>
    </cfRule>
  </conditionalFormatting>
  <conditionalFormatting sqref="C11">
    <cfRule type="cellIs" dxfId="41" priority="24" stopIfTrue="1" operator="equal">
      <formula>359</formula>
    </cfRule>
    <cfRule type="expression" dxfId="40" priority="27" stopIfTrue="1">
      <formula>OR(MasseSans&lt;MpropuVide, MasseSans&gt;20*MpropuPlein)</formula>
    </cfRule>
  </conditionalFormatting>
  <conditionalFormatting sqref="N36">
    <cfRule type="expression" dxfId="39" priority="26" stopIfTrue="1">
      <formula>ROUND(SUM(C2:P25)+SUM(C27:P35),0)=8637</formula>
    </cfRule>
  </conditionalFormatting>
  <conditionalFormatting sqref="O36 M36">
    <cfRule type="expression" dxfId="38" priority="141" stopIfTrue="1">
      <formula>$M$36="propu NOK"</formula>
    </cfRule>
  </conditionalFormatting>
  <conditionalFormatting sqref="C12">
    <cfRule type="cellIs" dxfId="37" priority="23" stopIfTrue="1" operator="equal">
      <formula>639</formula>
    </cfRule>
  </conditionalFormatting>
  <conditionalFormatting sqref="C13:D13 C18 C33">
    <cfRule type="cellIs" dxfId="36" priority="22" stopIfTrue="1" operator="equal">
      <formula>1001</formula>
    </cfRule>
  </conditionalFormatting>
  <conditionalFormatting sqref="C22:D22">
    <cfRule type="cellIs" dxfId="35" priority="21" stopIfTrue="1" operator="equal">
      <formula>199</formula>
    </cfRule>
  </conditionalFormatting>
  <conditionalFormatting sqref="C23:D23 C14 C34">
    <cfRule type="cellIs" dxfId="34" priority="20" stopIfTrue="1" operator="equal">
      <formula>59</formula>
    </cfRule>
  </conditionalFormatting>
  <conditionalFormatting sqref="C30">
    <cfRule type="cellIs" dxfId="33" priority="19" stopIfTrue="1" operator="equal">
      <formula>99</formula>
    </cfRule>
  </conditionalFormatting>
  <conditionalFormatting sqref="C28">
    <cfRule type="cellIs" dxfId="32" priority="18" stopIfTrue="1" operator="equal">
      <formula>59</formula>
    </cfRule>
  </conditionalFormatting>
  <conditionalFormatting sqref="C29 C27">
    <cfRule type="cellIs" dxfId="31" priority="17" stopIfTrue="1" operator="equal">
      <formula>109</formula>
    </cfRule>
  </conditionalFormatting>
  <conditionalFormatting sqref="D17">
    <cfRule type="expression" dxfId="30" priority="10" stopIfTrue="1">
      <formula>D202</formula>
    </cfRule>
  </conditionalFormatting>
  <conditionalFormatting sqref="C17">
    <cfRule type="expression" dxfId="29" priority="150" stopIfTrue="1">
      <formula>C204</formula>
    </cfRule>
  </conditionalFormatting>
  <conditionalFormatting sqref="L38:M38">
    <cfRule type="expression" dxfId="28" priority="232" stopIfTrue="1">
      <formula>OR(SUM($C$27:$C$32)=273, $H$33&lt;&gt;"STABLE")</formula>
    </cfRule>
  </conditionalFormatting>
  <conditionalFormatting sqref="I28">
    <cfRule type="expression" dxfId="27" priority="5" stopIfTrue="1">
      <formula>OR(Cn0&lt;CritCnmin,Cn0&gt;CritCnmax)</formula>
    </cfRule>
  </conditionalFormatting>
  <dataValidations count="13">
    <dataValidation type="whole" allowBlank="1" showInputMessage="1" showErrorMessage="1" error="Tapez un entier entre 3 et 6." sqref="C32:D32" xr:uid="{00000000-0002-0000-0000-000000000000}">
      <formula1>3</formula1>
      <formula2>6</formula2>
    </dataValidation>
    <dataValidation type="decimal" operator="notEqual" allowBlank="1" showInputMessage="1" showErrorMessage="1" error="Tapez uniquement la longueur, sans l'unité." sqref="C29:D29" xr:uid="{00000000-0002-0000-0000-000001000000}">
      <formula1>1E+100</formula1>
    </dataValidation>
    <dataValidation type="decimal" operator="greaterThanOrEqual" allowBlank="1" showInputMessage="1" showErrorMessage="1" error="Tapez uniquement la longueur, sans l'unité." sqref="C27:D28 C33:D34 C30:D31 M6:O9" xr:uid="{00000000-0002-0000-0000-000002000000}">
      <formula1>0</formula1>
    </dataValidation>
    <dataValidation type="list" showInputMessage="1" showErrorMessage="1" sqref="C26:D26" xr:uid="{00000000-0002-0000-0000-000003000000}">
      <formula1>Menu_Empennage</formula1>
    </dataValidation>
    <dataValidation type="list" showInputMessage="1" showErrorMessage="1" sqref="C17:D17"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1" xr:uid="{00000000-0002-0000-0000-000006000000}">
      <formula1>0</formula1>
      <formula2>50000</formula2>
    </dataValidation>
    <dataValidation type="decimal" operator="greaterThan" showInputMessage="1" showErrorMessage="1" error="Tapez uniquement la longueur, sans l'unité." sqref="C12 C13:D13 C22:D23" xr:uid="{00000000-0002-0000-0000-000007000000}">
      <formula1>0</formula1>
    </dataValidation>
    <dataValidation type="list" showInputMessage="1" showErrorMessage="1" sqref="D11:D12" xr:uid="{00000000-0002-0000-0000-000008000000}">
      <formula1>Menu_with_motor</formula1>
    </dataValidation>
    <dataValidation type="list" showInputMessage="1" showErrorMessage="1" sqref="C10:D10" xr:uid="{00000000-0002-0000-0000-000009000000}">
      <formula1>Menu_Type</formula1>
    </dataValidation>
    <dataValidation type="decimal" operator="greaterThan" allowBlank="1" showInputMessage="1" showErrorMessage="1" error="Tapez uniquement la longueur, sans l'unité." sqref="C18" xr:uid="{00000000-0002-0000-0000-00000A000000}">
      <formula1>0</formula1>
    </dataValidation>
    <dataValidation type="list" showInputMessage="1" showErrorMessage="1" sqref="C21:D21" xr:uid="{00000000-0002-0000-0000-00000B000000}">
      <formula1>Menu_Ogive</formula1>
    </dataValidation>
    <dataValidation type="list" showInputMessage="1" showErrorMessage="1" sqref="M4" xr:uid="{00000000-0002-0000-0000-00000C000000}">
      <formula1>Menu_Transitions</formula1>
    </dataValidation>
  </dataValidations>
  <hyperlinks>
    <hyperlink ref="M38"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C34:D34"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891540</xdr:colOff>
                    <xdr:row>21</xdr:row>
                    <xdr:rowOff>15240</xdr:rowOff>
                  </from>
                  <to>
                    <xdr:col>4</xdr:col>
                    <xdr:colOff>0</xdr:colOff>
                    <xdr:row>22</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891540</xdr:colOff>
                    <xdr:row>10</xdr:row>
                    <xdr:rowOff>15240</xdr:rowOff>
                  </from>
                  <to>
                    <xdr:col>3</xdr:col>
                    <xdr:colOff>0</xdr:colOff>
                    <xdr:row>11</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891540</xdr:colOff>
                    <xdr:row>11</xdr:row>
                    <xdr:rowOff>15240</xdr:rowOff>
                  </from>
                  <to>
                    <xdr:col>3</xdr:col>
                    <xdr:colOff>0</xdr:colOff>
                    <xdr:row>12</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891540</xdr:colOff>
                    <xdr:row>22</xdr:row>
                    <xdr:rowOff>15240</xdr:rowOff>
                  </from>
                  <to>
                    <xdr:col>4</xdr:col>
                    <xdr:colOff>0</xdr:colOff>
                    <xdr:row>23</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891540</xdr:colOff>
                    <xdr:row>26</xdr:row>
                    <xdr:rowOff>15240</xdr:rowOff>
                  </from>
                  <to>
                    <xdr:col>3</xdr:col>
                    <xdr:colOff>0</xdr:colOff>
                    <xdr:row>27</xdr:row>
                    <xdr:rowOff>0</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891540</xdr:colOff>
                    <xdr:row>27</xdr:row>
                    <xdr:rowOff>15240</xdr:rowOff>
                  </from>
                  <to>
                    <xdr:col>3</xdr:col>
                    <xdr:colOff>0</xdr:colOff>
                    <xdr:row>28</xdr:row>
                    <xdr:rowOff>0</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891540</xdr:colOff>
                    <xdr:row>28</xdr:row>
                    <xdr:rowOff>15240</xdr:rowOff>
                  </from>
                  <to>
                    <xdr:col>3</xdr:col>
                    <xdr:colOff>0</xdr:colOff>
                    <xdr:row>29</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891540</xdr:colOff>
                    <xdr:row>29</xdr:row>
                    <xdr:rowOff>15240</xdr:rowOff>
                  </from>
                  <to>
                    <xdr:col>3</xdr:col>
                    <xdr:colOff>0</xdr:colOff>
                    <xdr:row>30</xdr:row>
                    <xdr:rowOff>0</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891540</xdr:colOff>
                    <xdr:row>30</xdr:row>
                    <xdr:rowOff>15240</xdr:rowOff>
                  </from>
                  <to>
                    <xdr:col>3</xdr:col>
                    <xdr:colOff>0</xdr:colOff>
                    <xdr:row>31</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891540</xdr:colOff>
                    <xdr:row>31</xdr:row>
                    <xdr:rowOff>15240</xdr:rowOff>
                  </from>
                  <to>
                    <xdr:col>3</xdr:col>
                    <xdr:colOff>0</xdr:colOff>
                    <xdr:row>32</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891540</xdr:colOff>
                    <xdr:row>12</xdr:row>
                    <xdr:rowOff>15240</xdr:rowOff>
                  </from>
                  <to>
                    <xdr:col>4</xdr:col>
                    <xdr:colOff>0</xdr:colOff>
                    <xdr:row>13</xdr:row>
                    <xdr:rowOff>0</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15240</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15240</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199"/>
  <sheetViews>
    <sheetView showGridLines="0" topLeftCell="B1" zoomScaleNormal="100" workbookViewId="0">
      <selection activeCell="C33" sqref="C33"/>
    </sheetView>
  </sheetViews>
  <sheetFormatPr baseColWidth="10" defaultColWidth="11.33203125" defaultRowHeight="13.2" x14ac:dyDescent="0.25"/>
  <cols>
    <col min="1" max="1" width="2.21875" style="1" customWidth="1"/>
    <col min="2" max="2" width="16.21875" style="1" customWidth="1"/>
    <col min="3" max="4" width="11.33203125" style="1"/>
    <col min="5" max="5" width="2.77734375" style="1" customWidth="1"/>
    <col min="6" max="7" width="12.77734375" style="1" customWidth="1"/>
    <col min="8" max="13" width="10.77734375" style="1" customWidth="1"/>
    <col min="14" max="15" width="2.21875" style="1" customWidth="1"/>
    <col min="16" max="17" width="14.21875" style="1" customWidth="1"/>
    <col min="18" max="16384" width="11.33203125" style="1"/>
  </cols>
  <sheetData>
    <row r="1" spans="1:14" x14ac:dyDescent="0.25">
      <c r="A1" s="51"/>
      <c r="B1" s="52"/>
      <c r="C1" s="53"/>
      <c r="D1" s="52"/>
      <c r="E1" s="54"/>
      <c r="F1" s="54"/>
      <c r="G1" s="54"/>
      <c r="H1" s="54"/>
      <c r="I1" s="54"/>
      <c r="J1" s="54"/>
      <c r="K1" s="54"/>
      <c r="L1" s="54"/>
      <c r="M1" s="54"/>
      <c r="N1" s="55"/>
    </row>
    <row r="2" spans="1:14" ht="12.75" customHeight="1" x14ac:dyDescent="0.25">
      <c r="A2" s="56"/>
      <c r="B2" s="2"/>
      <c r="C2" s="625" t="s">
        <v>0</v>
      </c>
      <c r="D2" s="625"/>
      <c r="F2" s="3"/>
      <c r="J2" s="4"/>
      <c r="N2" s="57"/>
    </row>
    <row r="3" spans="1:14" ht="12.75" customHeight="1" x14ac:dyDescent="0.25">
      <c r="A3" s="56"/>
      <c r="B3" s="2"/>
      <c r="C3" s="625"/>
      <c r="D3" s="625"/>
      <c r="H3" s="5"/>
      <c r="J3" s="4"/>
      <c r="N3" s="57"/>
    </row>
    <row r="4" spans="1:14" ht="12.75" customHeight="1" x14ac:dyDescent="0.25">
      <c r="A4" s="56"/>
      <c r="B4" s="2"/>
      <c r="C4" s="628" t="str">
        <f>IF(Lang="Français","Trajectographie de fusée",IF(Lang="English","Rocket Trajectography",""))</f>
        <v>Trajectographie de fusée</v>
      </c>
      <c r="D4" s="628"/>
      <c r="H4" s="5"/>
      <c r="J4" s="4"/>
      <c r="N4" s="57"/>
    </row>
    <row r="5" spans="1:14" ht="12.75" customHeight="1" x14ac:dyDescent="0.25">
      <c r="A5" s="56"/>
      <c r="B5" s="2"/>
      <c r="J5" s="4"/>
      <c r="N5" s="57"/>
    </row>
    <row r="6" spans="1:14" ht="13.05" customHeight="1" x14ac:dyDescent="0.25">
      <c r="A6" s="56"/>
      <c r="B6" s="87"/>
      <c r="C6" s="627" t="str">
        <f>IF(Lang="Français","Remplir les cases jaunes",IF(Lang="English","Fill-in yellow cells only",""))</f>
        <v>Remplir les cases jaunes</v>
      </c>
      <c r="D6" s="627"/>
      <c r="J6" s="4"/>
      <c r="N6" s="57"/>
    </row>
    <row r="7" spans="1:14" x14ac:dyDescent="0.25">
      <c r="A7" s="56"/>
      <c r="B7" s="6"/>
      <c r="C7" s="607" t="str">
        <f>IF(Lang="Français","Fusée",IF(Lang="English","Rocket",""))</f>
        <v>Fusée</v>
      </c>
      <c r="D7" s="607"/>
      <c r="N7" s="58"/>
    </row>
    <row r="8" spans="1:14" ht="12.75" customHeight="1" x14ac:dyDescent="0.3">
      <c r="A8" s="56"/>
      <c r="B8" s="140" t="str">
        <f>IF(Lang="Français","Nom",IF(Lang="English","Name",""))</f>
        <v>Nom</v>
      </c>
      <c r="C8" s="626" t="str">
        <f>Nom</f>
        <v>Indra</v>
      </c>
      <c r="D8" s="626"/>
      <c r="E8" s="5"/>
      <c r="F8" s="5"/>
      <c r="J8" s="4"/>
      <c r="N8" s="57"/>
    </row>
    <row r="9" spans="1:14" ht="12.75" customHeight="1" x14ac:dyDescent="0.3">
      <c r="A9" s="59"/>
      <c r="B9" s="140" t="s">
        <v>4</v>
      </c>
      <c r="C9" s="626" t="str">
        <f>Club</f>
        <v>Space'Tech Orléans</v>
      </c>
      <c r="D9" s="626"/>
      <c r="F9" s="5"/>
      <c r="N9" s="58"/>
    </row>
    <row r="10" spans="1:14" ht="12.75" customHeight="1" x14ac:dyDescent="0.25">
      <c r="A10" s="59"/>
      <c r="B10" s="140" t="str">
        <f>IF(Lang="Français","Masse totale",IF(Lang="English","Total Mass",""))</f>
        <v>Masse totale</v>
      </c>
      <c r="C10" s="602">
        <f ca="1">MassePlein</f>
        <v>14.282999999999998</v>
      </c>
      <c r="D10" s="602"/>
      <c r="F10" s="5"/>
      <c r="N10" s="58"/>
    </row>
    <row r="11" spans="1:14" ht="12.75" customHeight="1" x14ac:dyDescent="0.25">
      <c r="A11" s="59"/>
      <c r="B11" s="227" t="str">
        <f>IF(Lang="Français","Propulseur",IF(Lang="English","Motor",""))</f>
        <v>Propulseur</v>
      </c>
      <c r="C11" s="605" t="str">
        <f>Propu</f>
        <v>Orignal (Pro75-3G C)</v>
      </c>
      <c r="D11" s="606"/>
      <c r="F11" s="5"/>
      <c r="N11" s="58"/>
    </row>
    <row r="12" spans="1:14" ht="12.75" customHeight="1" x14ac:dyDescent="0.25">
      <c r="A12" s="59"/>
      <c r="F12" s="5"/>
      <c r="N12" s="58"/>
    </row>
    <row r="13" spans="1:14" ht="12.75" customHeight="1" x14ac:dyDescent="0.25">
      <c r="A13" s="59"/>
      <c r="B13"/>
      <c r="C13" s="607" t="str">
        <f>IF(Lang="Français","Traînée Aérdynamique",IF(Lang="English","Drag",""))</f>
        <v>Traînée Aérdynamique</v>
      </c>
      <c r="D13" s="607"/>
      <c r="N13" s="58"/>
    </row>
    <row r="14" spans="1:14" ht="12.75" customHeight="1" x14ac:dyDescent="0.25">
      <c r="A14" s="59"/>
      <c r="B14" s="140" t="s">
        <v>41</v>
      </c>
      <c r="C14" s="608">
        <f>(PI()*D_ref^2/4+E_ail*ep_ail*Q_ail)/10^6</f>
        <v>9.1339816339744834E-3</v>
      </c>
      <c r="D14" s="608"/>
      <c r="N14" s="58"/>
    </row>
    <row r="15" spans="1:14" ht="12.75" customHeight="1" x14ac:dyDescent="0.25">
      <c r="A15" s="59"/>
      <c r="B15" s="141" t="s">
        <v>5</v>
      </c>
      <c r="C15" s="600">
        <v>0.5</v>
      </c>
      <c r="D15" s="601"/>
      <c r="N15" s="58"/>
    </row>
    <row r="16" spans="1:14" ht="12.75" customHeight="1" x14ac:dyDescent="0.25">
      <c r="A16" s="59"/>
      <c r="N16" s="58"/>
    </row>
    <row r="17" spans="1:18" ht="12.75" customHeight="1" x14ac:dyDescent="0.25">
      <c r="A17" s="59"/>
      <c r="B17"/>
      <c r="C17" s="607" t="str">
        <f>IF(Lang="Français","Rampe de Lancement",IF(Lang="English","Launch Pad",""))</f>
        <v>Rampe de Lancement</v>
      </c>
      <c r="D17" s="607"/>
      <c r="N17" s="58"/>
    </row>
    <row r="18" spans="1:18" ht="12.75" customHeight="1" x14ac:dyDescent="0.25">
      <c r="A18" s="59"/>
      <c r="B18" s="140" t="str">
        <f>IF(Lang="Français","Longueur",IF(Lang="English","Length",""))</f>
        <v>Longueur</v>
      </c>
      <c r="C18" s="604">
        <f>IF(RIGHT(Type_fusee,1)=".",4, IF(LEFT(Type_fusee,4)="Mini",2.5, IF(LEFT(Type_fusee,5)="Micro",1, IF(RIGHT(Type_fusee,1)=" ",0.1,IF(LEFT(Type_fusee,1)="R",3, 2.5)))))</f>
        <v>4</v>
      </c>
      <c r="D18" s="604"/>
      <c r="N18" s="58"/>
    </row>
    <row r="19" spans="1:18" ht="12.75" customHeight="1" x14ac:dyDescent="0.25">
      <c r="A19" s="59"/>
      <c r="B19" s="140" t="str">
        <f>IF(Lang="Français","Élévation",IF(Lang="English","Angle /horizon",""))</f>
        <v>Élévation</v>
      </c>
      <c r="C19" s="603">
        <v>80</v>
      </c>
      <c r="D19" s="603"/>
      <c r="N19" s="58"/>
    </row>
    <row r="20" spans="1:18" ht="12.75" customHeight="1" x14ac:dyDescent="0.25">
      <c r="A20" s="59"/>
      <c r="B20" s="140" t="s">
        <v>6</v>
      </c>
      <c r="C20" s="604">
        <v>0</v>
      </c>
      <c r="D20" s="604"/>
      <c r="N20" s="58"/>
    </row>
    <row r="21" spans="1:18" ht="12.75" customHeight="1" x14ac:dyDescent="0.25">
      <c r="A21" s="59"/>
      <c r="F21" s="384" t="str">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N21" s="58"/>
    </row>
    <row r="22" spans="1:18" x14ac:dyDescent="0.25">
      <c r="A22" s="59"/>
      <c r="C22" s="609" t="str">
        <f>IF(Lang="Français","DescenteSousParachute",IF(Lang="English","Over Parachute",""))</f>
        <v>DescenteSousParachute</v>
      </c>
      <c r="D22" s="610"/>
      <c r="F22" s="4"/>
      <c r="G22" s="50">
        <f ca="1">TODAY()</f>
        <v>44910</v>
      </c>
      <c r="H22" s="491" t="str">
        <f>IF(Lang="Français","Temps",IF(Lang="English","Time",""))</f>
        <v>Temps</v>
      </c>
      <c r="I22" s="491" t="s">
        <v>12</v>
      </c>
      <c r="J22" s="491" t="str">
        <f>IF(Lang="Français","Portée x",IF(Lang="English","Range x",""))</f>
        <v>Portée x</v>
      </c>
      <c r="K22" s="491" t="str">
        <f>IF(Lang="Français","Vitesse",IF(Lang="English","Velocity",""))</f>
        <v>Vitesse</v>
      </c>
      <c r="L22" s="492" t="s">
        <v>13</v>
      </c>
      <c r="M22" s="501" t="s">
        <v>423</v>
      </c>
      <c r="N22" s="58"/>
    </row>
    <row r="23" spans="1:18" x14ac:dyDescent="0.25">
      <c r="A23" s="59"/>
      <c r="B23"/>
      <c r="C23" s="142" t="str">
        <f>C7</f>
        <v>Fusée</v>
      </c>
      <c r="D23" s="220" t="s">
        <v>121</v>
      </c>
      <c r="F23" s="611" t="str">
        <f>IF(Lang="Français","Sortie de Rampe",IF(Lang="English","Launch-Pad Exit",""))</f>
        <v>Sortie de Rampe</v>
      </c>
      <c r="G23" s="612"/>
      <c r="H23" s="493"/>
      <c r="I23" s="493"/>
      <c r="J23" s="493"/>
      <c r="K23" s="494">
        <f ca="1">INDEX(vit_xz,MATCH("Sortie de rampe",Event,0))</f>
        <v>22.485477111685444</v>
      </c>
      <c r="L23" s="495"/>
      <c r="M23" s="502"/>
      <c r="N23" s="58"/>
    </row>
    <row r="24" spans="1:18" x14ac:dyDescent="0.25">
      <c r="A24" s="59"/>
      <c r="B24" s="466" t="str">
        <f>IF(Lang="Français","Masse",IF(Lang="English","Mass",""))</f>
        <v>Masse</v>
      </c>
      <c r="C24" s="467">
        <f ca="1">IF(Nb_sat="0 satellite",MasseVide,MasseVide-m_satellite)</f>
        <v>12.409999999999998</v>
      </c>
      <c r="D24" s="482">
        <f>IF(RIGHT(Type_fusee,1)=".",1,0.15)</f>
        <v>1</v>
      </c>
      <c r="E24" s="18" t="str">
        <f>IF(ABS(T_satellite-0.11-T_para)&lt;0.1,"Pb!","")</f>
        <v/>
      </c>
      <c r="F24" s="614" t="str">
        <f>IF(Lang="Français","Vit max &amp; Acc max",IF(Lang="English","Max Velocity &amp; Acc",""))</f>
        <v>Vit max &amp; Acc max</v>
      </c>
      <c r="G24" s="594"/>
      <c r="H24" s="115"/>
      <c r="I24" s="115"/>
      <c r="J24" s="115"/>
      <c r="K24" s="158">
        <f ca="1">MAX(vit_xz)</f>
        <v>217.01781453168348</v>
      </c>
      <c r="L24" s="496">
        <f ca="1">MAX(acc_xz)</f>
        <v>80.150922596350284</v>
      </c>
      <c r="M24" s="502"/>
      <c r="N24" s="58"/>
    </row>
    <row r="25" spans="1:18" x14ac:dyDescent="0.25">
      <c r="A25" s="59"/>
      <c r="B25" s="470" t="str">
        <f>IF(Lang="Français","Dépotage",IF(Lang="English","Delay",""))</f>
        <v>Dépotage</v>
      </c>
      <c r="C25" s="507" t="s">
        <v>409</v>
      </c>
      <c r="D25" s="481"/>
      <c r="F25" s="615" t="str">
        <f>IF(Lang="Français","Largage du satellite",IF(Lang="English","Satellite separation",""))</f>
        <v>Largage du satellite</v>
      </c>
      <c r="G25" s="596"/>
      <c r="H25" s="152">
        <f>IF(T_satellite&lt;&gt;0,T_satellite,"")</f>
        <v>3.5</v>
      </c>
      <c r="I25" s="156">
        <f ca="1">IF(T_satellite&lt;&gt;0,INDEX(pos_z,MATCH("Satellite",Event_sat,0)),"")</f>
        <v>355.867213740441</v>
      </c>
      <c r="J25" s="154">
        <f ca="1">IF(T_satellite&lt;&gt;0,INDEX(pos_x,MATCH("Satellite",Event_sat,0)),"")</f>
        <v>82.916949632282225</v>
      </c>
      <c r="K25" s="159">
        <f ca="1">IF(T_satellite&lt;&gt;0,INDEX(vit_xz,MATCH("Satellite",Event_sat,0)),"")</f>
        <v>191.76398311969061</v>
      </c>
      <c r="L25" s="497"/>
      <c r="M25" s="487">
        <f ca="1">1/2*Rho_moyen*1*V_ouv_sat^2*S_satellite</f>
        <v>2252.3722948431505</v>
      </c>
      <c r="N25" s="58"/>
    </row>
    <row r="26" spans="1:18" x14ac:dyDescent="0.25">
      <c r="A26" s="59"/>
      <c r="B26" s="468" t="str">
        <f>IF(Lang="Français","Ouverture para",IF(Lang="English","Opening time",""))</f>
        <v>Ouverture para</v>
      </c>
      <c r="C26" s="509">
        <v>21</v>
      </c>
      <c r="D26" s="469">
        <v>3.5</v>
      </c>
      <c r="F26" s="614" t="s">
        <v>15</v>
      </c>
      <c r="G26" s="594"/>
      <c r="H26" s="153">
        <f ca="1">INDEX(t,MATCH("Apogée",Event,0))</f>
        <v>21.399999999999974</v>
      </c>
      <c r="I26" s="157">
        <f ca="1">INDEX(pos_z,MATCH("Apogée",Event,0))</f>
        <v>2136.2366360495694</v>
      </c>
      <c r="J26" s="155">
        <f ca="1">INDEX(pos_x,MATCH("Apogée",Event,0))</f>
        <v>889.75158611101074</v>
      </c>
      <c r="K26" s="160">
        <f ca="1">INDEX(vit_xz,MATCH("Apogée",Event,0))</f>
        <v>39.246621783777002</v>
      </c>
      <c r="L26" s="498"/>
      <c r="M26" s="502"/>
      <c r="N26" s="58"/>
    </row>
    <row r="27" spans="1:18" x14ac:dyDescent="0.25">
      <c r="A27" s="59"/>
      <c r="B27" s="141" t="s">
        <v>9</v>
      </c>
      <c r="C27" s="225">
        <f>S_para_rond</f>
        <v>3.1101767270538949</v>
      </c>
      <c r="D27" s="17">
        <f>IF(RIGHT(Type_fusee,1)=".",0.1,0.02)</f>
        <v>0.1</v>
      </c>
      <c r="F27" s="613" t="str">
        <f>IF(Lang="Français","Ouverture parachute fusée",IF(Lang="English","Rocket parachute opening",""))</f>
        <v>Ouverture parachute fusée</v>
      </c>
      <c r="G27" s="599"/>
      <c r="H27" s="152">
        <f>T_para</f>
        <v>21</v>
      </c>
      <c r="I27" s="156">
        <f ca="1">INDEX(pos_z,MATCH("Para",Event_para,0))</f>
        <v>2135.3644804378696</v>
      </c>
      <c r="J27" s="488">
        <f ca="1">INDEX(pos_x,MATCH("Para",Event_para,0))</f>
        <v>874.03066250134032</v>
      </c>
      <c r="K27" s="159">
        <f ca="1">INDEX(vit_xz,MATCH("Para",Event_para,0))</f>
        <v>39.576690593252067</v>
      </c>
      <c r="L27" s="497"/>
      <c r="M27" s="487">
        <f ca="1">1/2*Rho_moyen*1*V_ouverture^2*S_para</f>
        <v>2983.8027618917895</v>
      </c>
      <c r="N27" s="58"/>
      <c r="P27" s="384" t="str">
        <f ca="1">IF(V_para&lt;5, IF(Lang="Français","Parachute fusée trop grand !","Parachute too big!"), IF( V_para&gt;15, IF(Lang="Français","Parachute fusée trop petit !","Parachute too small!"), ""))</f>
        <v/>
      </c>
      <c r="R27" s="384" t="str">
        <f>IF(AND(Nb_sat="1 satellite", OR(V_satellite&lt;5)), IF(Lang="Français","Parachute satéllite trop grand !","Parachute too big"), IF(AND(Nb_sat="1 satellite",OR(V_satellite&gt;15)), IF(Lang="Français","Parachute satéllite trop petit !","Parachute too small!"), ""))</f>
        <v/>
      </c>
    </row>
    <row r="28" spans="1:18" x14ac:dyDescent="0.25">
      <c r="A28" s="59"/>
      <c r="B28" s="141" t="s">
        <v>10</v>
      </c>
      <c r="C28" s="143">
        <v>1</v>
      </c>
      <c r="D28" s="143">
        <v>1</v>
      </c>
      <c r="F28" s="618" t="str">
        <f>IF(Lang="Français","Impact balistique",IF(Lang="English","Balistic Impact",""))</f>
        <v>Impact balistique</v>
      </c>
      <c r="G28" s="619"/>
      <c r="H28" s="499">
        <f ca="1">INDEX(t,MATCH("Impact balistique",Event,0))</f>
        <v>43.90000000000029</v>
      </c>
      <c r="I28" s="519" t="s">
        <v>430</v>
      </c>
      <c r="J28" s="489">
        <f ca="1">INDEX(pos_x,MATCH("Impact balistique",Event,0))</f>
        <v>1638.9749615397848</v>
      </c>
      <c r="K28" s="503">
        <f ca="1">K45</f>
        <v>167.34499938089306</v>
      </c>
      <c r="L28" s="500"/>
      <c r="M28" s="504">
        <f ca="1">0.5*m_vide*K28^2</f>
        <v>173766.98441439375</v>
      </c>
      <c r="N28" s="58"/>
      <c r="P28" s="384" t="str">
        <f ca="1">IF( OR( V_para&lt;5, V_para&gt;15, AND(Nb_sat="1 satellite", OR(V_satellite&lt;5, V_satellite&gt;15))), IF(Lang="Français","La Vitesse de descente sous parachute doit être comprise entre 5 &amp; 15 m/s.","Fall Velocity with parachute must be between 5 &amp; 15 m/s."), "")</f>
        <v/>
      </c>
    </row>
    <row r="29" spans="1:18" x14ac:dyDescent="0.25">
      <c r="A29" s="59"/>
      <c r="B29" s="141" t="str">
        <f>IF(Lang="Français","Vitesse du vent",IF(Lang="English","Wind speed",""))</f>
        <v>Vitesse du vent</v>
      </c>
      <c r="C29" s="144">
        <v>5</v>
      </c>
      <c r="D29" s="144">
        <f>V_vent</f>
        <v>5</v>
      </c>
      <c r="E29" s="18" t="str">
        <f>IF(AND(T_satellite=0,m_satellite&lt;&gt;0),"Erreur !","")</f>
        <v/>
      </c>
      <c r="G29" s="485"/>
      <c r="H29" s="486"/>
      <c r="I29" s="490"/>
      <c r="N29" s="58"/>
      <c r="P29" s="384" t="str">
        <f ca="1">IF(AND(Portee_balistique&gt;200,LEFT(Type_propu,4)="Mini"),IF(Lang="Français","Fusée trop lègère !","Rocket too light"),"")</f>
        <v/>
      </c>
    </row>
    <row r="30" spans="1:18" x14ac:dyDescent="0.25">
      <c r="A30" s="59"/>
      <c r="B30" s="133" t="str">
        <f>IF(Lang="Français","Vitesse descente",IF(Lang="English","Fall velocity",""))</f>
        <v>Vitesse descente</v>
      </c>
      <c r="C30" s="424">
        <f ca="1">SQRT(2*m_vide*g/Rho_moyen/S_para/Cx_para)</f>
        <v>7.9941964101280014</v>
      </c>
      <c r="D30" s="424">
        <f>SQRT(2*m_satellite*g/Rho_moyen/S_satellite/Cx_satellite)</f>
        <v>12.655562623057198</v>
      </c>
      <c r="F30" s="384"/>
      <c r="K30" s="388"/>
      <c r="N30" s="58"/>
      <c r="P30" s="384" t="str">
        <f ca="1">IF(OR(AND(Vsortie_de_rampe&lt;20,LEFT(Type_fusee,1)="F"),AND(Vsortie_de_rampe&lt;18, OR(LEFT(Type_fusee,1)=",",LEFT(Type_fusee,4)="Mini",LEFT(Type_fusee,1)="R"))),IF(Lang="Français","Fusée trop lourde ou rampe trop courte !","Rocket too heavy or launch pad too small!"),"")</f>
        <v/>
      </c>
    </row>
    <row r="31" spans="1:18" x14ac:dyDescent="0.25">
      <c r="A31" s="59"/>
      <c r="B31" s="133" t="str">
        <f>IF(Lang="Français","Durée descente",IF(Lang="English","Fall duration",""))</f>
        <v>Durée descente</v>
      </c>
      <c r="C31" s="132">
        <f ca="1">Alt_para/V_para</f>
        <v>267.11433781293329</v>
      </c>
      <c r="D31" s="132">
        <f ca="1">IF(V_satellite&lt;&gt;0,Alt_sat/V_satellite,0)</f>
        <v>28.119430509717972</v>
      </c>
      <c r="H31" s="620" t="str">
        <f>IF(Lang="Français","Pour localiser la fusée","To locate the rocket")</f>
        <v>Pour localiser la fusée</v>
      </c>
      <c r="I31" s="620"/>
      <c r="J31" s="484"/>
      <c r="N31" s="395"/>
      <c r="P31" s="384" t="str">
        <f ca="1">IF(Temps_culmi-T_para&gt;2,IF(Lang="Français","Ouverture parachute fusée précoce.","Early rocket parachute opening."),IF(Temps_culmi-T_para&lt;-2,IF(Lang="Français","Ouverture parachute fusée tardive.","Late rocket parachute opening."),""))</f>
        <v/>
      </c>
    </row>
    <row r="32" spans="1:18" x14ac:dyDescent="0.25">
      <c r="A32" s="59"/>
      <c r="B32" s="133" t="str">
        <f>IF(Lang="Français","Durée du vol",IF(Lang="English","Fligth duration",""))</f>
        <v>Durée du vol</v>
      </c>
      <c r="C32" s="132">
        <f ca="1">T_para+Dt_para</f>
        <v>288.11433781293329</v>
      </c>
      <c r="D32" s="132">
        <f ca="1">T_satellite+Dt_satellite</f>
        <v>31.619430509717972</v>
      </c>
      <c r="F32" s="620" t="str">
        <f>IF(Lang="Français","Couleur fuselage/coiffe","Body/Nose color")</f>
        <v>Couleur fuselage/coiffe</v>
      </c>
      <c r="G32" s="620"/>
      <c r="H32" s="616" t="s">
        <v>267</v>
      </c>
      <c r="I32" s="617"/>
      <c r="N32" s="394"/>
      <c r="P32" s="384" t="str">
        <f ca="1">IF(ABS(Temps_culmi-T_para)&gt;2,IF(Lang="Français","Attention, aux efforts sur le parachute lors de l'ouverture !","Becarefull to the opening chute efforts!"),"")</f>
        <v/>
      </c>
    </row>
    <row r="33" spans="1:16" customFormat="1" x14ac:dyDescent="0.25">
      <c r="A33" s="74"/>
      <c r="B33" s="133" t="str">
        <f>IF(Lang="Français","Déport latéral",IF(Lang="English","Lateral shift",""))</f>
        <v>Déport latéral</v>
      </c>
      <c r="C33" s="151">
        <f ca="1">Alt_para*V_vent/V_para</f>
        <v>1335.5716890646663</v>
      </c>
      <c r="D33" s="151">
        <f ca="1">IF(V_satellite&lt;&gt;0,Alt_sat*V_vent_sat/V_satellite,0)</f>
        <v>140.59715254858986</v>
      </c>
      <c r="F33" s="620" t="str">
        <f>IF(Lang="Français","Couleur parachute fusée","Rocket parachute color")</f>
        <v>Couleur parachute fusée</v>
      </c>
      <c r="G33" s="620"/>
      <c r="H33" s="616" t="s">
        <v>268</v>
      </c>
      <c r="I33" s="617"/>
      <c r="N33" s="394" t="str">
        <f>IF(Lang="Français","fichier initial","Initial file")</f>
        <v>fichier initial</v>
      </c>
    </row>
    <row r="34" spans="1:16" x14ac:dyDescent="0.25">
      <c r="A34" s="59"/>
      <c r="F34" s="620" t="str">
        <f>IF(Lang="Français","Couleur parachute satellite","Satellite parachute color")</f>
        <v>Couleur parachute satellite</v>
      </c>
      <c r="G34" s="620"/>
      <c r="H34" s="624" t="s">
        <v>159</v>
      </c>
      <c r="I34" s="624"/>
      <c r="N34" s="393" t="str">
        <f>IF(ROUND(SUM(Propu!5:1228),0)=395253,"propu OK","propu NOK")</f>
        <v>propu OK</v>
      </c>
      <c r="P34"/>
    </row>
    <row r="35" spans="1:16" ht="13.8" thickBot="1" x14ac:dyDescent="0.3">
      <c r="A35" s="60"/>
      <c r="B35" s="181" t="str">
        <f>IF(Lang="Français","Commentaire libre :",IF(Lang="English","Free comment:",""))</f>
        <v>Commentaire libre :</v>
      </c>
      <c r="C35" s="61"/>
      <c r="D35" s="61"/>
      <c r="E35" s="61"/>
      <c r="F35" s="61"/>
      <c r="G35" s="61"/>
      <c r="H35" s="61"/>
      <c r="I35" s="61"/>
      <c r="J35" s="61"/>
      <c r="K35" s="61"/>
      <c r="L35" s="61"/>
      <c r="M35" s="61"/>
      <c r="N35" s="290" t="s">
        <v>546</v>
      </c>
      <c r="P35"/>
    </row>
    <row r="38" spans="1:16" x14ac:dyDescent="0.25">
      <c r="A38" s="621" t="str">
        <f>IF(Lang="Français","Calcul de la surface d'un parachute","Parachute surface calculation")</f>
        <v>Calcul de la surface d'un parachute</v>
      </c>
      <c r="B38" s="622"/>
      <c r="C38" s="622"/>
      <c r="D38" s="623"/>
      <c r="F38" s="621" t="str">
        <f>IF(Lang="Français","Résultats détaillés","Detailled results")</f>
        <v>Résultats détaillés</v>
      </c>
      <c r="G38" s="623"/>
      <c r="H38" s="170" t="str">
        <f>IF(Lang="Français","Temps",IF(Lang="English","Time",""))</f>
        <v>Temps</v>
      </c>
      <c r="I38" s="134" t="s">
        <v>12</v>
      </c>
      <c r="J38" s="134" t="str">
        <f>IF(Lang="Français","Portée x",IF(Lang="English","Range x",""))</f>
        <v>Portée x</v>
      </c>
      <c r="K38" s="134" t="str">
        <f>IF(Lang="Français","Vitesse",IF(Lang="English","Velocity",""))</f>
        <v>Vitesse</v>
      </c>
      <c r="L38" s="135" t="s">
        <v>13</v>
      </c>
      <c r="M38" s="134" t="s">
        <v>42</v>
      </c>
    </row>
    <row r="39" spans="1:16" x14ac:dyDescent="0.25">
      <c r="A39" s="161"/>
      <c r="D39" s="162"/>
      <c r="F39" s="172"/>
      <c r="G39" s="173"/>
      <c r="H39" s="171" t="s">
        <v>154</v>
      </c>
      <c r="I39" s="136" t="s">
        <v>39</v>
      </c>
      <c r="J39" s="136" t="s">
        <v>39</v>
      </c>
      <c r="K39" s="136" t="s">
        <v>155</v>
      </c>
      <c r="L39" s="136" t="s">
        <v>7</v>
      </c>
      <c r="M39" s="136" t="s">
        <v>156</v>
      </c>
    </row>
    <row r="40" spans="1:16" x14ac:dyDescent="0.25">
      <c r="A40" s="161"/>
      <c r="D40" s="162"/>
      <c r="F40" s="593" t="str">
        <f>IF(Lang="Français","Décollage",IF(Lang="English","Lift-Off",""))</f>
        <v>Décollage</v>
      </c>
      <c r="G40" s="593"/>
      <c r="H40" s="150">
        <v>0</v>
      </c>
      <c r="I40" s="150">
        <v>0</v>
      </c>
      <c r="J40" s="150">
        <v>0</v>
      </c>
      <c r="K40" s="150">
        <v>0</v>
      </c>
      <c r="L40" s="148" t="s">
        <v>14</v>
      </c>
      <c r="M40" s="149">
        <f>Beta_rampe</f>
        <v>80</v>
      </c>
    </row>
    <row r="41" spans="1:16" x14ac:dyDescent="0.25">
      <c r="A41" s="161"/>
      <c r="D41" s="162"/>
      <c r="F41" s="594" t="str">
        <f>IF(Lang="Français","Sortie de Rampe",IF(Lang="English","Launch-Pad Exit",""))</f>
        <v>Sortie de Rampe</v>
      </c>
      <c r="G41" s="594"/>
      <c r="H41" s="115">
        <f ca="1">INDEX(t,MATCH("Sortie de rampe",Event,0))</f>
        <v>0.36000000000000015</v>
      </c>
      <c r="I41" s="115">
        <f ca="1">INDEX(pos_z,MATCH("Sortie de rampe",Event,0))</f>
        <v>3.719792397250782</v>
      </c>
      <c r="J41" s="115">
        <f ca="1">INDEX(pos_x,MATCH("Sortie de rampe",Event,0))</f>
        <v>0.6558616009732402</v>
      </c>
      <c r="K41" s="116">
        <f ca="1">INDEX(vit_xz,MATCH("Sortie de rampe",Event,0))</f>
        <v>22.485477111685444</v>
      </c>
      <c r="L41" s="116">
        <f ca="1">INDEX(acc_xz,MATCH("Sortie de rampe",Event,0))</f>
        <v>63.928874623082528</v>
      </c>
      <c r="M41" s="116">
        <f ca="1">INDEX(BetaD,MATCH("Sortie de rampe",Event,0))</f>
        <v>80</v>
      </c>
    </row>
    <row r="42" spans="1:16" x14ac:dyDescent="0.25">
      <c r="A42" s="161"/>
      <c r="B42" s="166" t="str">
        <f>IF(Lang="Français","Longeur du bord","Side length")</f>
        <v>Longeur du bord</v>
      </c>
      <c r="D42" s="162"/>
      <c r="F42" s="594" t="str">
        <f>IF(Lang="Français","Vit max &amp; Acc max",IF(Lang="English","Max Velocity &amp; Acc",""))</f>
        <v>Vit max &amp; Acc max</v>
      </c>
      <c r="G42" s="594"/>
      <c r="H42" s="115" t="s">
        <v>14</v>
      </c>
      <c r="I42" s="115" t="s">
        <v>14</v>
      </c>
      <c r="J42" s="115" t="s">
        <v>14</v>
      </c>
      <c r="K42" s="117">
        <f ca="1">MAX(vit_xz)</f>
        <v>217.01781453168348</v>
      </c>
      <c r="L42" s="118">
        <f ca="1">MAX(acc_xz)</f>
        <v>80.150922596350284</v>
      </c>
      <c r="M42" s="116" t="s">
        <v>14</v>
      </c>
    </row>
    <row r="43" spans="1:16" x14ac:dyDescent="0.25">
      <c r="A43" s="161"/>
      <c r="B43" s="167">
        <v>400</v>
      </c>
      <c r="D43" s="162"/>
      <c r="F43" s="594" t="str">
        <f>IF(Lang="Français","Fin de Propulsion",IF(Lang="English","Motor Burn-Out",""))</f>
        <v>Fin de Propulsion</v>
      </c>
      <c r="G43" s="594"/>
      <c r="H43" s="116">
        <f ca="1">INDEX(t,MATCH("Fin de propulsion",Event,0))</f>
        <v>4.6899999999999444</v>
      </c>
      <c r="I43" s="119">
        <f ca="1">INDEX(pos_z,MATCH("Fin de propulsion",Event,0))</f>
        <v>596.14525655520231</v>
      </c>
      <c r="J43" s="119">
        <f ca="1">INDEX(pos_x,MATCH("Fin de propulsion",Event,0))</f>
        <v>145.6471003434259</v>
      </c>
      <c r="K43" s="119">
        <f ca="1">INDEX(vit_xz,MATCH("Fin de propulsion",Event,0))</f>
        <v>214.42649359116714</v>
      </c>
      <c r="L43" s="116">
        <f ca="1">INDEX(acc_xz,MATCH("Fin de propulsion",Event,0))</f>
        <v>19.425485418260532</v>
      </c>
      <c r="M43" s="116">
        <f ca="1">INDEX(BetaD,MATCH("Fin de propulsion",Event,0))</f>
        <v>74.976775831429933</v>
      </c>
    </row>
    <row r="44" spans="1:16" x14ac:dyDescent="0.25">
      <c r="A44" s="161"/>
      <c r="B44" s="166" t="str">
        <f>IF(Lang="Français","Largeur du coté","Side width")</f>
        <v>Largeur du coté</v>
      </c>
      <c r="D44" s="162"/>
      <c r="F44" s="594" t="s">
        <v>15</v>
      </c>
      <c r="G44" s="594"/>
      <c r="H44" s="118">
        <f ca="1">INDEX(t,MATCH("Apogée",Event,0))</f>
        <v>21.399999999999974</v>
      </c>
      <c r="I44" s="117">
        <f ca="1">INDEX(pos_z,MATCH("Apogée",Event,0))</f>
        <v>2136.2366360495694</v>
      </c>
      <c r="J44" s="120">
        <f ca="1">INDEX(pos_x,MATCH("Apogée",Event,0))</f>
        <v>889.75158611101074</v>
      </c>
      <c r="K44" s="120">
        <f ca="1">INDEX(vit_xz,MATCH("Apogée",Event,0))</f>
        <v>39.246621783777002</v>
      </c>
      <c r="L44" s="116">
        <f ca="1">INDEX(acc_xz,MATCH("Apogée",Event,0))</f>
        <v>9.8225692505313749</v>
      </c>
      <c r="M44" s="121">
        <f ca="1">INDEX(BetaD,MATCH("Apogée",Event,0))</f>
        <v>0.31452059731194576</v>
      </c>
    </row>
    <row r="45" spans="1:16" x14ac:dyDescent="0.25">
      <c r="A45" s="161"/>
      <c r="B45" s="168">
        <v>300</v>
      </c>
      <c r="D45" s="162"/>
      <c r="F45" s="597" t="str">
        <f>IF(Lang="Français","Impact balistique",IF(Lang="English","Balistic Impact",""))</f>
        <v>Impact balistique</v>
      </c>
      <c r="G45" s="597"/>
      <c r="H45" s="116">
        <f ca="1">INDEX(t,MATCH("Impact balistique",Event,0))</f>
        <v>43.90000000000029</v>
      </c>
      <c r="I45" s="148" t="s">
        <v>16</v>
      </c>
      <c r="J45" s="117">
        <f ca="1">INDEX(pos_x,MATCH("Impact balistique",Event,0))</f>
        <v>1638.9749615397848</v>
      </c>
      <c r="K45" s="119">
        <f ca="1">INDEX(vit_xz,MATCH("Impact balistique",Event,0))</f>
        <v>167.34499938089306</v>
      </c>
      <c r="L45" s="116">
        <f ca="1">INDEX(acc_xz,MATCH("Impact balistique",Event,0))</f>
        <v>3.7184006267414254</v>
      </c>
      <c r="M45" s="116">
        <f ca="1">INDEX(BetaD,MATCH("Impact balistique",Event,0))</f>
        <v>-81.582176751908804</v>
      </c>
    </row>
    <row r="46" spans="1:16" x14ac:dyDescent="0.25">
      <c r="A46" s="161"/>
      <c r="B46" s="169" t="s">
        <v>9</v>
      </c>
      <c r="D46" s="162"/>
      <c r="F46" s="599" t="str">
        <f>IF(Lang="Français","Ouverture parachute fusée",IF(Lang="English","Rocket parachute opening",""))</f>
        <v>Ouverture parachute fusée</v>
      </c>
      <c r="G46" s="599"/>
      <c r="H46" s="122">
        <f>T_para</f>
        <v>21</v>
      </c>
      <c r="I46" s="123">
        <f ca="1">INDEX(pos_z,MATCH("Para",Event_para,0))</f>
        <v>2135.3644804378696</v>
      </c>
      <c r="J46" s="123">
        <f ca="1">INDEX(pos_x,MATCH("Para",Event_para,0))</f>
        <v>874.03066250134032</v>
      </c>
      <c r="K46" s="123">
        <f ca="1">INDEX(vit_xz,MATCH("Para",Event_para,0))</f>
        <v>39.576690593252067</v>
      </c>
      <c r="L46" s="122">
        <f ca="1">INDEX(acc_xz,MATCH("Para",Event_para,0))</f>
        <v>9.8511953698028183</v>
      </c>
      <c r="M46" s="124">
        <f ca="1">INDEX(BetaD,MATCH("Para",Event_para,0))</f>
        <v>6.014880573628794</v>
      </c>
    </row>
    <row r="47" spans="1:16" x14ac:dyDescent="0.25">
      <c r="A47" s="161"/>
      <c r="B47" s="174">
        <f>(4*B43*B45+B43^2)/10^6</f>
        <v>0.64</v>
      </c>
      <c r="D47" s="162"/>
      <c r="F47" s="598" t="str">
        <f>IF(Lang="Français","Impact fusée sous para.",IF(Lang="English","Impact of rocket with para. ",""))</f>
        <v>Impact fusée sous para.</v>
      </c>
      <c r="G47" s="598"/>
      <c r="H47" s="125">
        <f ca="1">T_para+Dt_para</f>
        <v>288.11433781293329</v>
      </c>
      <c r="I47" s="127" t="s">
        <v>16</v>
      </c>
      <c r="J47" s="126" t="str">
        <f ca="1">CONCATENATE(TEXT(X_para-Dx_para,"0")," | ",TEXT(X_para+Dx_para,"0"))</f>
        <v>-462 | 2210</v>
      </c>
      <c r="K47" s="126">
        <f ca="1">V_para</f>
        <v>7.9941964101280014</v>
      </c>
      <c r="L47" s="128">
        <f>g</f>
        <v>9.81</v>
      </c>
      <c r="M47" s="128" t="s">
        <v>14</v>
      </c>
    </row>
    <row r="48" spans="1:16" x14ac:dyDescent="0.25">
      <c r="A48" s="161"/>
      <c r="D48" s="162"/>
      <c r="F48" s="595" t="str">
        <f>IF(Lang="Français","Largage du satellite",IF(Lang="English","Satellite separation",""))</f>
        <v>Largage du satellite</v>
      </c>
      <c r="G48" s="596"/>
      <c r="H48" s="122">
        <f>IF(T_satellite&lt;&gt;0,T_satellite,"")</f>
        <v>3.5</v>
      </c>
      <c r="I48" s="123">
        <f ca="1">IF(T_satellite&lt;&gt;0,INDEX(pos_z,MATCH("Satellite",Event_sat,0)),"")</f>
        <v>355.867213740441</v>
      </c>
      <c r="J48" s="129">
        <f ca="1">IF(T_satellite&lt;&gt;0,INDEX(pos_x,MATCH("Satellite",Event_sat,0)),"")</f>
        <v>82.916949632282225</v>
      </c>
      <c r="K48" s="123">
        <f ca="1">IF(T_satellite&lt;&gt;0,INDEX(vit_xz,MATCH("Satellite",Event_sat,0)),"")</f>
        <v>191.76398311969061</v>
      </c>
      <c r="L48" s="122">
        <f ca="1">IF(T_satellite&lt;&gt;0,INDEX(acc_xz,MATCH("Satellite",Event_sat,0)),"")</f>
        <v>35.976428434356102</v>
      </c>
      <c r="M48" s="124">
        <f ca="1">IF(T_satellite&lt;&gt;0,INDEX(BetaD,MATCH("Satellite",Event_sat,0)),"")</f>
        <v>75.786138046821705</v>
      </c>
    </row>
    <row r="49" spans="1:13" x14ac:dyDescent="0.25">
      <c r="A49" s="161"/>
      <c r="D49" s="162"/>
      <c r="F49" s="591" t="str">
        <f>IF(Lang="Français","Impact du satellite",IF(Lang="English","Satellite impact",""))</f>
        <v>Impact du satellite</v>
      </c>
      <c r="G49" s="592"/>
      <c r="H49" s="125">
        <f ca="1">IF(T_satellite&lt;&gt;0,T_satellite+Dt_satellite,"")</f>
        <v>31.619430509717972</v>
      </c>
      <c r="I49" s="130" t="str">
        <f>IF(T_satellite&lt;&gt;0,"~0","")</f>
        <v>~0</v>
      </c>
      <c r="J49" s="130" t="str">
        <f ca="1">IF(T_satellite&lt;&gt;0,CONCATENATE(TEXT(X_satellite-Dx_sat,"0")," | ",TEXT(X_satellite+Dx_sat,"0")),"")</f>
        <v>-58 | 224</v>
      </c>
      <c r="K49" s="130">
        <f>IF(T_satellite&lt;&gt;0,V_satellite,"")</f>
        <v>12.655562623057198</v>
      </c>
      <c r="L49" s="128">
        <f>IF(T_satellite&lt;&gt;0,g,"")</f>
        <v>9.81</v>
      </c>
      <c r="M49" s="131" t="str">
        <f>IF(T_satellite&lt;&gt;0,"-","")</f>
        <v>-</v>
      </c>
    </row>
    <row r="50" spans="1:13" x14ac:dyDescent="0.25">
      <c r="A50" s="161"/>
      <c r="B50" s="166" t="str">
        <f>IF(Lang="Français","Rayon exterieur","Half-diameter ext")</f>
        <v>Rayon exterieur</v>
      </c>
      <c r="D50" s="162"/>
    </row>
    <row r="51" spans="1:13" x14ac:dyDescent="0.25">
      <c r="A51" s="161"/>
      <c r="B51" s="168">
        <v>1000</v>
      </c>
      <c r="D51" s="162"/>
    </row>
    <row r="52" spans="1:13" x14ac:dyDescent="0.25">
      <c r="A52" s="161"/>
      <c r="B52" s="166" t="str">
        <f>IF(Lang="Français","Rayon intérieur","Half-diameter int")</f>
        <v>Rayon intérieur</v>
      </c>
      <c r="D52" s="162"/>
    </row>
    <row r="53" spans="1:13" x14ac:dyDescent="0.25">
      <c r="A53" s="161"/>
      <c r="B53" s="168">
        <v>100</v>
      </c>
      <c r="D53" s="162"/>
    </row>
    <row r="54" spans="1:13" x14ac:dyDescent="0.25">
      <c r="A54" s="161"/>
      <c r="B54" s="169" t="s">
        <v>9</v>
      </c>
      <c r="D54" s="162"/>
    </row>
    <row r="55" spans="1:13" x14ac:dyDescent="0.25">
      <c r="A55" s="161"/>
      <c r="B55" s="174">
        <f>PI()*(B51^2-B53^2)/10^6</f>
        <v>3.1101767270538949</v>
      </c>
      <c r="D55" s="162"/>
    </row>
    <row r="56" spans="1:13" x14ac:dyDescent="0.25">
      <c r="A56" s="163"/>
      <c r="B56" s="164"/>
      <c r="C56" s="164"/>
      <c r="D56" s="165"/>
    </row>
    <row r="93" spans="2:2" x14ac:dyDescent="0.25">
      <c r="B93" s="24" t="str">
        <f>IF(Lang="Français","Vitesse de descente sous parachute :",IF(Lang="English","Fall velocity over parachute:",""))</f>
        <v>Vitesse de descente sous parachute :</v>
      </c>
    </row>
    <row r="102" spans="2:7" x14ac:dyDescent="0.25">
      <c r="B102" s="24" t="str">
        <f>IF(Lang="Français","Textes pour les listes déroulantes et graphiques :","Texts for drop-down lists &amp; graphics :")</f>
        <v>Textes pour les listes déroulantes et graphiques :</v>
      </c>
      <c r="F102" s="221" t="s">
        <v>409</v>
      </c>
      <c r="G102" s="1" t="s">
        <v>416</v>
      </c>
    </row>
    <row r="103" spans="2:7" x14ac:dyDescent="0.25">
      <c r="F103" s="478">
        <f ca="1">Combustion+Depotage-9</f>
        <v>-9</v>
      </c>
      <c r="G103" s="479" t="s">
        <v>411</v>
      </c>
    </row>
    <row r="104" spans="2:7" x14ac:dyDescent="0.25">
      <c r="B104" s="1" t="s">
        <v>121</v>
      </c>
      <c r="F104" s="478">
        <f ca="1">Combustion+Depotage-7</f>
        <v>-7</v>
      </c>
      <c r="G104" s="479" t="s">
        <v>412</v>
      </c>
    </row>
    <row r="105" spans="2:7" x14ac:dyDescent="0.25">
      <c r="B105" s="1" t="s">
        <v>122</v>
      </c>
      <c r="F105" s="478">
        <f ca="1">Combustion+Depotage-5</f>
        <v>-5</v>
      </c>
      <c r="G105" s="479" t="s">
        <v>413</v>
      </c>
    </row>
    <row r="106" spans="2:7" x14ac:dyDescent="0.25">
      <c r="B106" s="1" t="str">
        <f>IF(T_para&gt;0,IF(Lang="Français","Phase ascendante","Climbing phase"),"")</f>
        <v>Phase ascendante</v>
      </c>
      <c r="F106" s="478">
        <f ca="1">Combustion+Depotage-3</f>
        <v>-3</v>
      </c>
      <c r="G106" s="479" t="s">
        <v>414</v>
      </c>
    </row>
    <row r="107" spans="2:7" x14ac:dyDescent="0.25">
      <c r="B107" s="1" t="str">
        <f>IF(Lang="Français","Descente balistique","Balistic fall")</f>
        <v>Descente balistique</v>
      </c>
      <c r="F107" s="478">
        <f ca="1">Combustion+Depotage</f>
        <v>0</v>
      </c>
      <c r="G107" s="479" t="s">
        <v>415</v>
      </c>
    </row>
    <row r="108" spans="2:7" x14ac:dyDescent="0.25">
      <c r="B108" s="1" t="str">
        <f>IF(T_para&gt;0,IF(Lang="Français","Fusée sous parachute","Rocket under parachute"),"")</f>
        <v>Fusée sous parachute</v>
      </c>
      <c r="F108" s="480" t="str">
        <f>IF(Lang="Français","autre",IF(Lang="English","other",""))</f>
        <v>autre</v>
      </c>
    </row>
    <row r="109" spans="2:7" x14ac:dyDescent="0.25">
      <c r="B109" s="1" t="str">
        <f>IF(AND(Nb_sat="1 satellite",T_satellite&gt;0),IF(Lang="Français","Satellite sous parachute","Satellite over parachute"),"")</f>
        <v/>
      </c>
    </row>
    <row r="110" spans="2:7" x14ac:dyDescent="0.25">
      <c r="B110" s="1" t="str">
        <f>IF(Lang="Français","Trajectoire (x z)","Trajectory (x z)")</f>
        <v>Trajectoire (x z)</v>
      </c>
    </row>
    <row r="111" spans="2:7" x14ac:dyDescent="0.25">
      <c r="B111" s="1" t="str">
        <f>IF(Lang="Français","Portée x [m]","Range x [m]")</f>
        <v>Portée x [m]</v>
      </c>
    </row>
    <row r="112" spans="2:7" x14ac:dyDescent="0.25">
      <c r="B112" s="1" t="str">
        <f>IF(Lang="Français","Temps [s]","Time [s]")</f>
        <v>Temps [s]</v>
      </c>
    </row>
    <row r="113" spans="2:3" x14ac:dyDescent="0.25">
      <c r="B113" s="1" t="str">
        <f>IF(Lang="Français","Altitude z  /  Temps","Altitude z  /  Time")</f>
        <v>Altitude z  /  Temps</v>
      </c>
      <c r="C113" s="1">
        <f>IF(OR(C25=F102,C25=F108),C26,C25)</f>
        <v>21</v>
      </c>
    </row>
    <row r="115" spans="2:3" x14ac:dyDescent="0.25">
      <c r="B115" s="1" t="s">
        <v>410</v>
      </c>
    </row>
    <row r="117" spans="2:3" x14ac:dyDescent="0.25">
      <c r="B117" s="24" t="str">
        <f>IF(Lang="Français","Données pour les graphiques :","Data for plots:")</f>
        <v>Données pour les graphiques :</v>
      </c>
      <c r="C117" s="211" t="s">
        <v>48</v>
      </c>
    </row>
    <row r="118" spans="2:3" x14ac:dyDescent="0.25">
      <c r="C118" s="216">
        <f ca="1">MAX(Altitude_culmi,Portee_balistique)</f>
        <v>2136.2366360495694</v>
      </c>
    </row>
    <row r="119" spans="2:3" x14ac:dyDescent="0.25">
      <c r="B119" s="210" t="s">
        <v>48</v>
      </c>
    </row>
    <row r="120" spans="2:3" x14ac:dyDescent="0.25">
      <c r="B120" s="218">
        <f ca="1">MAX(Altitude_culmi,Portee_balistique)</f>
        <v>2136.2366360495694</v>
      </c>
      <c r="C120" s="211" t="s">
        <v>46</v>
      </c>
    </row>
    <row r="121" spans="2:3" x14ac:dyDescent="0.25">
      <c r="C121" s="214">
        <f ca="1">Alt_para</f>
        <v>2135.3644804378696</v>
      </c>
    </row>
    <row r="122" spans="2:3" x14ac:dyDescent="0.25">
      <c r="B122" s="210" t="s">
        <v>50</v>
      </c>
      <c r="C122" s="214">
        <f ca="1">Alt_para/2</f>
        <v>1067.6822402189348</v>
      </c>
    </row>
    <row r="123" spans="2:3" x14ac:dyDescent="0.25">
      <c r="B123" s="217">
        <f ca="1">X_para</f>
        <v>874.03066250134032</v>
      </c>
      <c r="C123" s="214">
        <v>0</v>
      </c>
    </row>
    <row r="124" spans="2:3" x14ac:dyDescent="0.25">
      <c r="B124" s="217">
        <f ca="1">X_para</f>
        <v>874.03066250134032</v>
      </c>
      <c r="C124" s="214">
        <f ca="1">Alt_para/20</f>
        <v>106.76822402189347</v>
      </c>
    </row>
    <row r="125" spans="2:3" x14ac:dyDescent="0.25">
      <c r="B125" s="217">
        <f ca="1">X_para</f>
        <v>874.03066250134032</v>
      </c>
      <c r="C125" s="214">
        <v>0</v>
      </c>
    </row>
    <row r="126" spans="2:3" x14ac:dyDescent="0.25">
      <c r="B126" s="217">
        <f ca="1">X_para+Alt_para/40</f>
        <v>927.41477451228707</v>
      </c>
      <c r="C126" s="214">
        <f ca="1">Alt_para/20</f>
        <v>106.76822402189347</v>
      </c>
    </row>
    <row r="127" spans="2:3" x14ac:dyDescent="0.25">
      <c r="B127" s="217">
        <f ca="1">X_para</f>
        <v>874.03066250134032</v>
      </c>
      <c r="C127" s="219">
        <v>0</v>
      </c>
    </row>
    <row r="128" spans="2:3" x14ac:dyDescent="0.25">
      <c r="B128" s="217">
        <f ca="1">X_para-Alt_para/40</f>
        <v>820.64655049039357</v>
      </c>
      <c r="C128" s="211" t="s">
        <v>46</v>
      </c>
    </row>
    <row r="129" spans="2:6" x14ac:dyDescent="0.25">
      <c r="B129" s="218">
        <f ca="1">X_para</f>
        <v>874.03066250134032</v>
      </c>
      <c r="C129" s="214">
        <f ca="1">Alt_para</f>
        <v>2135.3644804378696</v>
      </c>
      <c r="E129" s="232">
        <v>1</v>
      </c>
      <c r="F129" s="233" t="s">
        <v>176</v>
      </c>
    </row>
    <row r="130" spans="2:6" x14ac:dyDescent="0.25">
      <c r="B130" s="210" t="s">
        <v>49</v>
      </c>
      <c r="C130" s="214">
        <f ca="1">(C129+C131)/2</f>
        <v>1067.6822402189348</v>
      </c>
      <c r="E130" s="161">
        <v>1</v>
      </c>
      <c r="F130" s="234" t="s">
        <v>177</v>
      </c>
    </row>
    <row r="131" spans="2:6" x14ac:dyDescent="0.25">
      <c r="B131" s="213">
        <f>T_para</f>
        <v>21</v>
      </c>
      <c r="C131" s="214">
        <f>0</f>
        <v>0</v>
      </c>
      <c r="E131" s="161"/>
      <c r="F131" s="241" t="s">
        <v>178</v>
      </c>
    </row>
    <row r="132" spans="2:6" x14ac:dyDescent="0.25">
      <c r="B132" s="213">
        <f ca="1">(B131+B133)/2</f>
        <v>154.55716890646664</v>
      </c>
      <c r="C132" s="214">
        <f ca="1">Alt_para-V_para*(H47-T_para)+E129*sS*Altitude_culmi/H47*zZ_fus+E130*sS/2*Altitude_culmi/H47*tT_fus</f>
        <v>47.638534460619724</v>
      </c>
      <c r="E132" s="235" t="s">
        <v>173</v>
      </c>
      <c r="F132" s="236">
        <f ca="1">T_balistique/10</f>
        <v>4.390000000000029</v>
      </c>
    </row>
    <row r="133" spans="2:6" x14ac:dyDescent="0.25">
      <c r="B133" s="213">
        <f ca="1">H47</f>
        <v>288.11433781293329</v>
      </c>
      <c r="C133" s="214">
        <f ca="1">Alt_para-V_para*(H47-T_para)</f>
        <v>0</v>
      </c>
      <c r="E133" s="235" t="s">
        <v>174</v>
      </c>
      <c r="F133" s="236">
        <f ca="1">(H47-T_para)/H47</f>
        <v>0.92711227022087717</v>
      </c>
    </row>
    <row r="134" spans="2:6" x14ac:dyDescent="0.25">
      <c r="B134" s="213">
        <f ca="1">H47+E129*sS/2*zZ_fus-E130*sS*tT_fus</f>
        <v>286.23931494666363</v>
      </c>
      <c r="C134" s="214">
        <f ca="1">Alt_para-V_para*(H47-T_para)+E129*sS*Altitude_culmi/H47*zZ_fus-E130*sS/2*Altitude_culmi/H47*tT_fus</f>
        <v>17.461167993943064</v>
      </c>
      <c r="E134" s="237" t="s">
        <v>175</v>
      </c>
      <c r="F134" s="238">
        <f ca="1">V_para*(H47-T_para)/Alt_para</f>
        <v>1</v>
      </c>
    </row>
    <row r="135" spans="2:6" x14ac:dyDescent="0.25">
      <c r="B135" s="213">
        <f ca="1">H47</f>
        <v>288.11433781293329</v>
      </c>
      <c r="C135" s="216">
        <f ca="1">Alt_para-V_para*(H47-T_para)</f>
        <v>0</v>
      </c>
    </row>
    <row r="136" spans="2:6" x14ac:dyDescent="0.25">
      <c r="B136" s="213">
        <f ca="1">H47-E129*sS/2*zZ_fus-E130*sS*tT_fus</f>
        <v>281.84931494666364</v>
      </c>
    </row>
    <row r="137" spans="2:6" x14ac:dyDescent="0.25">
      <c r="B137" s="215">
        <f ca="1">H47</f>
        <v>288.11433781293329</v>
      </c>
      <c r="C137" s="211" t="s">
        <v>47</v>
      </c>
    </row>
    <row r="138" spans="2:6" x14ac:dyDescent="0.25">
      <c r="C138" s="214" t="b">
        <f>IF(Nb_sat="1 satellite",Alt_sat)</f>
        <v>0</v>
      </c>
    </row>
    <row r="139" spans="2:6" x14ac:dyDescent="0.25">
      <c r="B139" s="210" t="s">
        <v>52</v>
      </c>
      <c r="C139" s="214" t="b">
        <f>IF(Nb_sat="1 satellite",Alt_sat*1/4)</f>
        <v>0</v>
      </c>
    </row>
    <row r="140" spans="2:6" x14ac:dyDescent="0.25">
      <c r="B140" s="217" t="b">
        <f>IF(Nb_sat="1 satellite",X_satellite)</f>
        <v>0</v>
      </c>
      <c r="C140" s="214" t="b">
        <f>IF(Nb_sat="1 satellite",0)</f>
        <v>0</v>
      </c>
    </row>
    <row r="141" spans="2:6" x14ac:dyDescent="0.25">
      <c r="B141" s="217" t="b">
        <f>IF(Nb_sat="1 satellite",X_satellite)</f>
        <v>0</v>
      </c>
      <c r="C141" s="214" t="b">
        <f>IF(Nb_sat="1 satellite",Alt_sat/20)</f>
        <v>0</v>
      </c>
    </row>
    <row r="142" spans="2:6" x14ac:dyDescent="0.25">
      <c r="B142" s="217" t="b">
        <f>IF(Nb_sat="1 satellite",X_satellite)</f>
        <v>0</v>
      </c>
      <c r="C142" s="214" t="b">
        <f>IF(Nb_sat="1 satellite",0)</f>
        <v>0</v>
      </c>
    </row>
    <row r="143" spans="2:6" x14ac:dyDescent="0.25">
      <c r="B143" s="217" t="b">
        <f>IF(Nb_sat="1 satellite",X_satellite+Alt_sat/40)</f>
        <v>0</v>
      </c>
      <c r="C143" s="214" t="b">
        <f>IF(Nb_sat="1 satellite",Alt_sat/20)</f>
        <v>0</v>
      </c>
    </row>
    <row r="144" spans="2:6" x14ac:dyDescent="0.25">
      <c r="B144" s="217" t="b">
        <f>IF(Nb_sat="1 satellite",X_satellite)</f>
        <v>0</v>
      </c>
      <c r="C144" s="214" t="b">
        <f>IF(Nb_sat="1 satellite",0)</f>
        <v>0</v>
      </c>
    </row>
    <row r="145" spans="2:6" x14ac:dyDescent="0.25">
      <c r="B145" s="217" t="b">
        <f>IF(Nb_sat="1 satellite",X_satellite-Alt_sat/40)</f>
        <v>0</v>
      </c>
      <c r="C145" s="211" t="s">
        <v>47</v>
      </c>
    </row>
    <row r="146" spans="2:6" x14ac:dyDescent="0.25">
      <c r="B146" s="218" t="b">
        <f>IF(Nb_sat="1 satellite",X_satellite)</f>
        <v>0</v>
      </c>
      <c r="C146" s="214" t="b">
        <f>IF(Nb_sat="1 satellite",Alt_sat)</f>
        <v>0</v>
      </c>
      <c r="D146" s="221"/>
    </row>
    <row r="147" spans="2:6" x14ac:dyDescent="0.25">
      <c r="B147" s="210" t="s">
        <v>51</v>
      </c>
      <c r="C147" s="214">
        <f>(C146+C148)/2</f>
        <v>0</v>
      </c>
      <c r="D147" s="221"/>
    </row>
    <row r="148" spans="2:6" x14ac:dyDescent="0.25">
      <c r="B148" s="213" t="b">
        <f>IF(Nb_sat="1 satellite",T_satellite)</f>
        <v>0</v>
      </c>
      <c r="C148" s="214" t="b">
        <f>IF(Nb_sat="1 satellite",0)</f>
        <v>0</v>
      </c>
    </row>
    <row r="149" spans="2:6" x14ac:dyDescent="0.25">
      <c r="B149" s="213">
        <f>(B148+B150)/2</f>
        <v>0</v>
      </c>
      <c r="C149" s="214" t="b">
        <f>IF(Nb_sat="1 satellite",Alt_sat-V_satellite*(H49-T_satellite)+E129*sS*Altitude_culmi/H49*zZ_sat+E130*sS/2*Altitude_culmi/H49*tT_sat)</f>
        <v>0</v>
      </c>
      <c r="D149" s="221"/>
    </row>
    <row r="150" spans="2:6" x14ac:dyDescent="0.25">
      <c r="B150" s="213" t="b">
        <f>IF(Nb_sat="1 satellite",H49)</f>
        <v>0</v>
      </c>
      <c r="C150" s="214" t="b">
        <f>IF(Nb_sat="1 satellite",0)</f>
        <v>0</v>
      </c>
      <c r="E150" s="239" t="s">
        <v>174</v>
      </c>
      <c r="F150" s="240">
        <f ca="1">(T_balistique-T_satellite)/T_balistique</f>
        <v>0.92027334851936271</v>
      </c>
    </row>
    <row r="151" spans="2:6" x14ac:dyDescent="0.25">
      <c r="B151" s="213" t="b">
        <f>IF(Nb_sat="1 satellite",H49+E129*sS/2*zZ_sat-E130*sS*tT_sat)</f>
        <v>0</v>
      </c>
      <c r="C151" s="214" t="b">
        <f>IF(Nb_sat="1 satellite",Alt_sat-V_satellite*(H49-T_satellite)+E129*sS*Altitude_culmi/H49*zZ_sat-E130*sS/2*Altitude_culmi/H49*tT_sat)</f>
        <v>0</v>
      </c>
      <c r="E151" s="237" t="s">
        <v>175</v>
      </c>
      <c r="F151" s="238">
        <f ca="1">V_satellite*(T_balistique-T_satellite)/Alt_sat</f>
        <v>1.4367289545938065</v>
      </c>
    </row>
    <row r="152" spans="2:6" x14ac:dyDescent="0.25">
      <c r="B152" s="213" t="b">
        <f>IF(Nb_sat="1 satellite",H49)</f>
        <v>0</v>
      </c>
      <c r="C152" s="216" t="b">
        <f>IF(Nb_sat="1 satellite",0)</f>
        <v>0</v>
      </c>
    </row>
    <row r="153" spans="2:6" x14ac:dyDescent="0.25">
      <c r="B153" s="213" t="b">
        <f>IF(Nb_sat="1 satellite",H49-sS/2*zZ_sat-E130*sS*tT_sat)</f>
        <v>0</v>
      </c>
    </row>
    <row r="154" spans="2:6" x14ac:dyDescent="0.25">
      <c r="B154" s="215" t="b">
        <f>IF(Nb_sat="1 satellite",H49)</f>
        <v>0</v>
      </c>
      <c r="C154" s="228" t="s">
        <v>29</v>
      </c>
      <c r="D154" s="211" t="s">
        <v>3</v>
      </c>
    </row>
    <row r="155" spans="2:6" x14ac:dyDescent="0.25">
      <c r="C155" s="82">
        <f ca="1">Alt_para/2</f>
        <v>1067.6822402189348</v>
      </c>
      <c r="D155" s="214">
        <f ca="1">X_para/4</f>
        <v>218.50766562533508</v>
      </c>
    </row>
    <row r="156" spans="2:6" x14ac:dyDescent="0.25">
      <c r="B156" s="210" t="s">
        <v>2</v>
      </c>
      <c r="C156" s="230">
        <f ca="1">Altitude_culmi/2</f>
        <v>1068.1183180247847</v>
      </c>
      <c r="D156" s="216">
        <f ca="1">X_culmi+(Portee_balistique-X_culmi)*2/3</f>
        <v>1389.2338363968602</v>
      </c>
    </row>
    <row r="157" spans="2:6" x14ac:dyDescent="0.25">
      <c r="B157" s="231">
        <f>T_para/4</f>
        <v>5.25</v>
      </c>
    </row>
    <row r="158" spans="2:6" x14ac:dyDescent="0.25">
      <c r="B158" s="229">
        <f ca="1">Temps_culmi + (T_balistique-Temps_culmi)/2</f>
        <v>32.650000000000134</v>
      </c>
      <c r="C158" s="228" t="s">
        <v>304</v>
      </c>
      <c r="D158" s="422" t="s">
        <v>306</v>
      </c>
      <c r="E158" s="422"/>
      <c r="F158" s="423" t="s">
        <v>306</v>
      </c>
    </row>
    <row r="159" spans="2:6" x14ac:dyDescent="0.25">
      <c r="C159" s="5">
        <v>0</v>
      </c>
      <c r="D159" s="82">
        <f t="shared" ref="D159:D174" ca="1" si="0">X_culmi+C159</f>
        <v>889.75158611101074</v>
      </c>
      <c r="E159" s="82"/>
      <c r="F159" s="214">
        <f t="shared" ref="F159:F174" ca="1" si="1">X_culmi-C159</f>
        <v>889.75158611101074</v>
      </c>
    </row>
    <row r="160" spans="2:6" x14ac:dyDescent="0.25">
      <c r="B160" s="210" t="s">
        <v>305</v>
      </c>
      <c r="C160" s="5">
        <v>23</v>
      </c>
      <c r="D160" s="82">
        <f t="shared" ca="1" si="0"/>
        <v>912.75158611101074</v>
      </c>
      <c r="E160" s="82"/>
      <c r="F160" s="214">
        <f t="shared" ca="1" si="1"/>
        <v>866.75158611101074</v>
      </c>
    </row>
    <row r="161" spans="2:6" x14ac:dyDescent="0.25">
      <c r="B161" s="231" t="e">
        <f ca="1">IF(AND(Altitude_culmi&gt;80, Altitude_culmi&lt;=350), 49, NA())</f>
        <v>#N/A</v>
      </c>
      <c r="C161" s="5">
        <v>23</v>
      </c>
      <c r="D161" s="82">
        <f t="shared" ca="1" si="0"/>
        <v>912.75158611101074</v>
      </c>
      <c r="E161" s="82"/>
      <c r="F161" s="214">
        <f t="shared" ca="1" si="1"/>
        <v>866.75158611101074</v>
      </c>
    </row>
    <row r="162" spans="2:6" x14ac:dyDescent="0.25">
      <c r="B162" s="231" t="e">
        <f ca="1">IF(AND(Altitude_culmi&gt;80, Altitude_culmi&lt;=350), 49, NA())</f>
        <v>#N/A</v>
      </c>
      <c r="C162" s="5">
        <v>0</v>
      </c>
      <c r="D162" s="82">
        <f t="shared" ca="1" si="0"/>
        <v>889.75158611101074</v>
      </c>
      <c r="E162" s="82"/>
      <c r="F162" s="214">
        <f t="shared" ca="1" si="1"/>
        <v>889.75158611101074</v>
      </c>
    </row>
    <row r="163" spans="2:6" x14ac:dyDescent="0.25">
      <c r="B163" s="231" t="e">
        <f ca="1">IF(AND(Altitude_culmi&gt;80, Altitude_culmi&lt;=350), 43, NA())</f>
        <v>#N/A</v>
      </c>
      <c r="C163" s="5">
        <v>23</v>
      </c>
      <c r="D163" s="82">
        <f t="shared" ca="1" si="0"/>
        <v>912.75158611101074</v>
      </c>
      <c r="E163" s="82"/>
      <c r="F163" s="214">
        <f t="shared" ca="1" si="1"/>
        <v>866.75158611101074</v>
      </c>
    </row>
    <row r="164" spans="2:6" x14ac:dyDescent="0.25">
      <c r="B164" s="231" t="e">
        <f ca="1">IF(AND(Altitude_culmi&gt;80, Altitude_culmi&lt;=350), 43, NA())</f>
        <v>#N/A</v>
      </c>
      <c r="C164" s="5">
        <v>23</v>
      </c>
      <c r="D164" s="82">
        <f t="shared" ca="1" si="0"/>
        <v>912.75158611101074</v>
      </c>
      <c r="E164" s="82"/>
      <c r="F164" s="214">
        <f t="shared" ca="1" si="1"/>
        <v>866.75158611101074</v>
      </c>
    </row>
    <row r="165" spans="2:6" x14ac:dyDescent="0.25">
      <c r="B165" s="231" t="e">
        <f ca="1">IF(AND(Altitude_culmi&gt;80, Altitude_culmi&lt;=350), 43, NA())</f>
        <v>#N/A</v>
      </c>
      <c r="C165" s="5">
        <v>8</v>
      </c>
      <c r="D165" s="82">
        <f t="shared" ca="1" si="0"/>
        <v>897.75158611101074</v>
      </c>
      <c r="E165" s="82"/>
      <c r="F165" s="214">
        <f t="shared" ca="1" si="1"/>
        <v>881.75158611101074</v>
      </c>
    </row>
    <row r="166" spans="2:6" x14ac:dyDescent="0.25">
      <c r="B166" s="231" t="e">
        <f ca="1">IF(AND(Altitude_culmi&gt;80, Altitude_culmi&lt;=350), 0.5, NA())</f>
        <v>#N/A</v>
      </c>
      <c r="C166" s="5">
        <v>8</v>
      </c>
      <c r="D166" s="82">
        <f t="shared" ca="1" si="0"/>
        <v>897.75158611101074</v>
      </c>
      <c r="E166" s="82"/>
      <c r="F166" s="214">
        <f t="shared" ca="1" si="1"/>
        <v>881.75158611101074</v>
      </c>
    </row>
    <row r="167" spans="2:6" x14ac:dyDescent="0.25">
      <c r="B167" s="231" t="e">
        <f ca="1">IF(AND(Altitude_culmi&gt;80, Altitude_culmi&lt;=350), 0.5, NA())</f>
        <v>#N/A</v>
      </c>
      <c r="C167" s="5">
        <v>23</v>
      </c>
      <c r="D167" s="82">
        <f t="shared" ca="1" si="0"/>
        <v>912.75158611101074</v>
      </c>
      <c r="E167" s="82"/>
      <c r="F167" s="214">
        <f t="shared" ca="1" si="1"/>
        <v>866.75158611101074</v>
      </c>
    </row>
    <row r="168" spans="2:6" x14ac:dyDescent="0.25">
      <c r="B168" s="231" t="e">
        <f ca="1">IF(AND(Altitude_culmi&gt;80, Altitude_culmi&lt;=350), 27, NA())</f>
        <v>#N/A</v>
      </c>
      <c r="C168" s="5">
        <v>8</v>
      </c>
      <c r="D168" s="82">
        <f t="shared" ca="1" si="0"/>
        <v>897.75158611101074</v>
      </c>
      <c r="E168" s="82"/>
      <c r="F168" s="214">
        <f t="shared" ca="1" si="1"/>
        <v>881.75158611101074</v>
      </c>
    </row>
    <row r="169" spans="2:6" x14ac:dyDescent="0.25">
      <c r="B169" s="231" t="e">
        <f ca="1">IF(AND(Altitude_culmi&gt;80, Altitude_culmi&lt;=350), 27, NA())</f>
        <v>#N/A</v>
      </c>
      <c r="C169" s="5">
        <v>7.6</v>
      </c>
      <c r="D169" s="82">
        <f t="shared" ca="1" si="0"/>
        <v>897.35158611101076</v>
      </c>
      <c r="E169" s="82"/>
      <c r="F169" s="214">
        <f t="shared" ca="1" si="1"/>
        <v>882.15158611101072</v>
      </c>
    </row>
    <row r="170" spans="2:6" x14ac:dyDescent="0.25">
      <c r="B170" s="231" t="e">
        <f ca="1">IF(AND(Altitude_culmi&gt;80, Altitude_culmi&lt;=350), 27, NA())</f>
        <v>#N/A</v>
      </c>
      <c r="C170" s="5">
        <v>6.8</v>
      </c>
      <c r="D170" s="82">
        <f t="shared" ca="1" si="0"/>
        <v>896.55158611101069</v>
      </c>
      <c r="E170" s="82"/>
      <c r="F170" s="214">
        <f t="shared" ca="1" si="1"/>
        <v>882.95158611101078</v>
      </c>
    </row>
    <row r="171" spans="2:6" x14ac:dyDescent="0.25">
      <c r="B171" s="231" t="e">
        <f ca="1">IF(AND(Altitude_culmi&gt;80, Altitude_culmi&lt;=350), 29, NA())</f>
        <v>#N/A</v>
      </c>
      <c r="C171" s="5">
        <v>6</v>
      </c>
      <c r="D171" s="82">
        <f t="shared" ca="1" si="0"/>
        <v>895.75158611101074</v>
      </c>
      <c r="E171" s="82"/>
      <c r="F171" s="214">
        <f t="shared" ca="1" si="1"/>
        <v>883.75158611101074</v>
      </c>
    </row>
    <row r="172" spans="2:6" x14ac:dyDescent="0.25">
      <c r="B172" s="231" t="e">
        <f ca="1">IF(AND(Altitude_culmi&gt;80, Altitude_culmi&lt;=350), 31, NA())</f>
        <v>#N/A</v>
      </c>
      <c r="C172" s="5">
        <v>5</v>
      </c>
      <c r="D172" s="82">
        <f t="shared" ca="1" si="0"/>
        <v>894.75158611101074</v>
      </c>
      <c r="E172" s="82"/>
      <c r="F172" s="214">
        <f t="shared" ca="1" si="1"/>
        <v>884.75158611101074</v>
      </c>
    </row>
    <row r="173" spans="2:6" x14ac:dyDescent="0.25">
      <c r="B173" s="231" t="e">
        <f ca="1">IF(AND(Altitude_culmi&gt;80, Altitude_culmi&lt;=350), 32, NA())</f>
        <v>#N/A</v>
      </c>
      <c r="C173" s="5">
        <v>3.8</v>
      </c>
      <c r="D173" s="82">
        <f t="shared" ca="1" si="0"/>
        <v>893.55158611101069</v>
      </c>
      <c r="E173" s="82"/>
      <c r="F173" s="214">
        <f t="shared" ca="1" si="1"/>
        <v>885.95158611101078</v>
      </c>
    </row>
    <row r="174" spans="2:6" x14ac:dyDescent="0.25">
      <c r="B174" s="231" t="e">
        <f ca="1">IF(AND(Altitude_culmi&gt;80, Altitude_culmi&lt;=350), 33, NA())</f>
        <v>#N/A</v>
      </c>
      <c r="C174" s="421">
        <v>0</v>
      </c>
      <c r="D174" s="230">
        <f t="shared" ca="1" si="0"/>
        <v>889.75158611101074</v>
      </c>
      <c r="E174" s="230"/>
      <c r="F174" s="216">
        <f t="shared" ca="1" si="1"/>
        <v>889.75158611101074</v>
      </c>
    </row>
    <row r="175" spans="2:6" x14ac:dyDescent="0.25">
      <c r="B175" s="231" t="e">
        <f ca="1">IF(AND(Altitude_culmi&gt;80, Altitude_culmi&lt;=350), 34, NA())</f>
        <v>#N/A</v>
      </c>
    </row>
    <row r="176" spans="2:6" x14ac:dyDescent="0.25">
      <c r="B176" s="229" t="e">
        <f ca="1">IF(AND(Altitude_culmi&gt;80, Altitude_culmi&lt;=350), 35, NA())</f>
        <v>#N/A</v>
      </c>
      <c r="C176" s="228" t="s">
        <v>308</v>
      </c>
      <c r="D176" s="228" t="s">
        <v>309</v>
      </c>
      <c r="E176" s="228"/>
      <c r="F176" s="211" t="s">
        <v>309</v>
      </c>
    </row>
    <row r="177" spans="2:6" x14ac:dyDescent="0.25">
      <c r="C177" s="5">
        <v>0</v>
      </c>
      <c r="D177" s="82">
        <f t="shared" ref="D177:D197" ca="1" si="2">X_culmi+C177</f>
        <v>889.75158611101074</v>
      </c>
      <c r="E177" s="82"/>
      <c r="F177" s="214">
        <f t="shared" ref="F177:F197" ca="1" si="3">X_culmi-C177</f>
        <v>889.75158611101074</v>
      </c>
    </row>
    <row r="178" spans="2:6" x14ac:dyDescent="0.25">
      <c r="B178" s="210" t="s">
        <v>307</v>
      </c>
      <c r="C178" s="5">
        <v>0</v>
      </c>
      <c r="D178" s="82">
        <f t="shared" ca="1" si="2"/>
        <v>889.75158611101074</v>
      </c>
      <c r="E178" s="82"/>
      <c r="F178" s="214">
        <f t="shared" ca="1" si="3"/>
        <v>889.75158611101074</v>
      </c>
    </row>
    <row r="179" spans="2:6" x14ac:dyDescent="0.25">
      <c r="B179" s="231">
        <f ca="1">IF(Altitude_culmi&gt;350, 324, NA())</f>
        <v>324</v>
      </c>
      <c r="C179" s="5">
        <v>10</v>
      </c>
      <c r="D179" s="82">
        <f t="shared" ca="1" si="2"/>
        <v>899.75158611101074</v>
      </c>
      <c r="E179" s="82"/>
      <c r="F179" s="214">
        <f t="shared" ca="1" si="3"/>
        <v>879.75158611101074</v>
      </c>
    </row>
    <row r="180" spans="2:6" x14ac:dyDescent="0.25">
      <c r="B180" s="231">
        <f ca="1">IF(Altitude_culmi&gt;350, 300, NA())</f>
        <v>300</v>
      </c>
      <c r="C180" s="5">
        <v>0</v>
      </c>
      <c r="D180" s="82">
        <f t="shared" ca="1" si="2"/>
        <v>889.75158611101074</v>
      </c>
      <c r="E180" s="82"/>
      <c r="F180" s="214">
        <f t="shared" ca="1" si="3"/>
        <v>889.75158611101074</v>
      </c>
    </row>
    <row r="181" spans="2:6" x14ac:dyDescent="0.25">
      <c r="B181" s="231">
        <f ca="1">IF(Altitude_culmi&gt;350, 280, NA())</f>
        <v>280</v>
      </c>
      <c r="C181" s="5">
        <v>10</v>
      </c>
      <c r="D181" s="82">
        <f t="shared" ca="1" si="2"/>
        <v>899.75158611101074</v>
      </c>
      <c r="E181" s="82"/>
      <c r="F181" s="214">
        <f t="shared" ca="1" si="3"/>
        <v>879.75158611101074</v>
      </c>
    </row>
    <row r="182" spans="2:6" x14ac:dyDescent="0.25">
      <c r="B182" s="231">
        <f ca="1">IF(Altitude_culmi&gt;350, 280, NA())</f>
        <v>280</v>
      </c>
      <c r="C182" s="5">
        <v>13</v>
      </c>
      <c r="D182" s="82">
        <f t="shared" ca="1" si="2"/>
        <v>902.75158611101074</v>
      </c>
      <c r="E182" s="82"/>
      <c r="F182" s="214">
        <f t="shared" ca="1" si="3"/>
        <v>876.75158611101074</v>
      </c>
    </row>
    <row r="183" spans="2:6" x14ac:dyDescent="0.25">
      <c r="B183" s="231">
        <f ca="1">IF(Altitude_culmi&gt;350, 280, NA())</f>
        <v>280</v>
      </c>
      <c r="C183" s="5">
        <v>17</v>
      </c>
      <c r="D183" s="82">
        <f t="shared" ca="1" si="2"/>
        <v>906.75158611101074</v>
      </c>
      <c r="E183" s="82"/>
      <c r="F183" s="214">
        <f t="shared" ca="1" si="3"/>
        <v>872.75158611101074</v>
      </c>
    </row>
    <row r="184" spans="2:6" x14ac:dyDescent="0.25">
      <c r="B184" s="231">
        <f ca="1">IF(Altitude_culmi&gt;350, 200, NA())</f>
        <v>200</v>
      </c>
      <c r="C184" s="5">
        <v>20</v>
      </c>
      <c r="D184" s="82">
        <f t="shared" ca="1" si="2"/>
        <v>909.75158611101074</v>
      </c>
      <c r="E184" s="82"/>
      <c r="F184" s="214">
        <f t="shared" ca="1" si="3"/>
        <v>869.75158611101074</v>
      </c>
    </row>
    <row r="185" spans="2:6" x14ac:dyDescent="0.25">
      <c r="B185" s="231">
        <f ca="1">IF(Altitude_culmi&gt;350, 160, NA())</f>
        <v>160</v>
      </c>
      <c r="C185" s="5">
        <v>25</v>
      </c>
      <c r="D185" s="82">
        <f t="shared" ca="1" si="2"/>
        <v>914.75158611101074</v>
      </c>
      <c r="E185" s="82"/>
      <c r="F185" s="214">
        <f t="shared" ca="1" si="3"/>
        <v>864.75158611101074</v>
      </c>
    </row>
    <row r="186" spans="2:6" x14ac:dyDescent="0.25">
      <c r="B186" s="231">
        <f ca="1">IF(Altitude_culmi&gt;350, 115, NA())</f>
        <v>115</v>
      </c>
      <c r="C186" s="5">
        <v>30</v>
      </c>
      <c r="D186" s="82">
        <f t="shared" ca="1" si="2"/>
        <v>919.75158611101074</v>
      </c>
      <c r="E186" s="82"/>
      <c r="F186" s="214">
        <f t="shared" ca="1" si="3"/>
        <v>859.75158611101074</v>
      </c>
    </row>
    <row r="187" spans="2:6" x14ac:dyDescent="0.25">
      <c r="B187" s="231">
        <f ca="1">IF(Altitude_culmi&gt;350, 90, NA())</f>
        <v>90</v>
      </c>
      <c r="C187" s="5">
        <v>36</v>
      </c>
      <c r="D187" s="82">
        <f t="shared" ca="1" si="2"/>
        <v>925.75158611101074</v>
      </c>
      <c r="E187" s="82"/>
      <c r="F187" s="214">
        <f t="shared" ca="1" si="3"/>
        <v>853.75158611101074</v>
      </c>
    </row>
    <row r="188" spans="2:6" x14ac:dyDescent="0.25">
      <c r="B188" s="231">
        <f ca="1">IF(Altitude_culmi&gt;350, 57, NA())</f>
        <v>57</v>
      </c>
      <c r="C188" s="5">
        <v>48</v>
      </c>
      <c r="D188" s="82">
        <f t="shared" ca="1" si="2"/>
        <v>937.75158611101074</v>
      </c>
      <c r="E188" s="82"/>
      <c r="F188" s="214">
        <f t="shared" ca="1" si="3"/>
        <v>841.75158611101074</v>
      </c>
    </row>
    <row r="189" spans="2:6" x14ac:dyDescent="0.25">
      <c r="B189" s="231">
        <f ca="1">IF(Altitude_culmi&gt;350, 40, NA())</f>
        <v>40</v>
      </c>
      <c r="C189" s="5">
        <v>62</v>
      </c>
      <c r="D189" s="82">
        <f t="shared" ca="1" si="2"/>
        <v>951.75158611101074</v>
      </c>
      <c r="E189" s="82"/>
      <c r="F189" s="214">
        <f t="shared" ca="1" si="3"/>
        <v>827.75158611101074</v>
      </c>
    </row>
    <row r="190" spans="2:6" x14ac:dyDescent="0.25">
      <c r="B190" s="231">
        <f ca="1">IF(Altitude_culmi&gt;350, 20, NA())</f>
        <v>20</v>
      </c>
      <c r="C190" s="5">
        <v>37</v>
      </c>
      <c r="D190" s="82">
        <f t="shared" ca="1" si="2"/>
        <v>926.75158611101074</v>
      </c>
      <c r="E190" s="82"/>
      <c r="F190" s="214">
        <f t="shared" ca="1" si="3"/>
        <v>852.75158611101074</v>
      </c>
    </row>
    <row r="191" spans="2:6" x14ac:dyDescent="0.25">
      <c r="B191" s="231">
        <f ca="1">IF(Altitude_culmi&gt;350, 0.5, NA())</f>
        <v>0.5</v>
      </c>
      <c r="C191" s="5">
        <v>30</v>
      </c>
      <c r="D191" s="82">
        <f t="shared" ca="1" si="2"/>
        <v>919.75158611101074</v>
      </c>
      <c r="E191" s="82"/>
      <c r="F191" s="214">
        <f t="shared" ca="1" si="3"/>
        <v>859.75158611101074</v>
      </c>
    </row>
    <row r="192" spans="2:6" x14ac:dyDescent="0.25">
      <c r="B192" s="231">
        <f ca="1">IF(Altitude_culmi&gt;350, 0.5, NA())</f>
        <v>0.5</v>
      </c>
      <c r="C192" s="5">
        <v>15</v>
      </c>
      <c r="D192" s="82">
        <f t="shared" ca="1" si="2"/>
        <v>904.75158611101074</v>
      </c>
      <c r="E192" s="82"/>
      <c r="F192" s="214">
        <f t="shared" ca="1" si="3"/>
        <v>874.75158611101074</v>
      </c>
    </row>
    <row r="193" spans="2:6" x14ac:dyDescent="0.25">
      <c r="B193" s="231">
        <f ca="1">IF(Altitude_culmi&gt;350, 15, NA())</f>
        <v>15</v>
      </c>
      <c r="C193" s="5">
        <v>0</v>
      </c>
      <c r="D193" s="82">
        <f t="shared" ca="1" si="2"/>
        <v>889.75158611101074</v>
      </c>
      <c r="E193" s="82"/>
      <c r="F193" s="214">
        <f t="shared" ca="1" si="3"/>
        <v>889.75158611101074</v>
      </c>
    </row>
    <row r="194" spans="2:6" x14ac:dyDescent="0.25">
      <c r="B194" s="231">
        <f ca="1">IF(Altitude_culmi&gt;350, 30, NA())</f>
        <v>30</v>
      </c>
      <c r="C194" s="5">
        <v>0</v>
      </c>
      <c r="D194" s="82">
        <f t="shared" ca="1" si="2"/>
        <v>889.75158611101074</v>
      </c>
      <c r="E194" s="82"/>
      <c r="F194" s="214">
        <f t="shared" ca="1" si="3"/>
        <v>889.75158611101074</v>
      </c>
    </row>
    <row r="195" spans="2:6" x14ac:dyDescent="0.25">
      <c r="B195" s="231">
        <f ca="1">IF(Altitude_culmi&gt;350, 37, NA())</f>
        <v>37</v>
      </c>
      <c r="C195" s="5">
        <v>17</v>
      </c>
      <c r="D195" s="82">
        <f t="shared" ca="1" si="2"/>
        <v>906.75158611101074</v>
      </c>
      <c r="E195" s="82"/>
      <c r="F195" s="214">
        <f t="shared" ca="1" si="3"/>
        <v>872.75158611101074</v>
      </c>
    </row>
    <row r="196" spans="2:6" x14ac:dyDescent="0.25">
      <c r="B196" s="231">
        <f ca="1">IF(Altitude_culmi&gt;350, 67, NA())</f>
        <v>67</v>
      </c>
      <c r="C196" s="5">
        <v>11</v>
      </c>
      <c r="D196" s="82">
        <f t="shared" ca="1" si="2"/>
        <v>900.75158611101074</v>
      </c>
      <c r="E196" s="82"/>
      <c r="F196" s="214">
        <f t="shared" ca="1" si="3"/>
        <v>878.75158611101074</v>
      </c>
    </row>
    <row r="197" spans="2:6" x14ac:dyDescent="0.25">
      <c r="B197" s="231">
        <f ca="1">IF(Altitude_culmi&gt;350, 67, NA())</f>
        <v>67</v>
      </c>
      <c r="C197" s="421">
        <v>0</v>
      </c>
      <c r="D197" s="230">
        <f t="shared" ca="1" si="2"/>
        <v>889.75158611101074</v>
      </c>
      <c r="E197" s="230"/>
      <c r="F197" s="216">
        <f t="shared" ca="1" si="3"/>
        <v>889.75158611101074</v>
      </c>
    </row>
    <row r="198" spans="2:6" x14ac:dyDescent="0.25">
      <c r="B198" s="231">
        <f ca="1">IF(Altitude_culmi&gt;350, 100, NA())</f>
        <v>100</v>
      </c>
    </row>
    <row r="199" spans="2:6" x14ac:dyDescent="0.25">
      <c r="B199" s="229">
        <f ca="1">IF(Altitude_culmi&gt;350, 100, NA())</f>
        <v>100</v>
      </c>
    </row>
  </sheetData>
  <sheetProtection password="C6AC" sheet="1"/>
  <protectedRanges>
    <protectedRange sqref="C25" name="Plage1"/>
  </protectedRanges>
  <mergeCells count="41">
    <mergeCell ref="C2:D3"/>
    <mergeCell ref="C7:D7"/>
    <mergeCell ref="C8:D8"/>
    <mergeCell ref="C9:D9"/>
    <mergeCell ref="C6:D6"/>
    <mergeCell ref="C4:D4"/>
    <mergeCell ref="H33:I33"/>
    <mergeCell ref="H32:I32"/>
    <mergeCell ref="F28:G28"/>
    <mergeCell ref="H31:I31"/>
    <mergeCell ref="A38:D38"/>
    <mergeCell ref="H34:I34"/>
    <mergeCell ref="F34:G34"/>
    <mergeCell ref="F33:G33"/>
    <mergeCell ref="F32:G32"/>
    <mergeCell ref="F38:G38"/>
    <mergeCell ref="C22:D22"/>
    <mergeCell ref="C17:D17"/>
    <mergeCell ref="F23:G23"/>
    <mergeCell ref="F27:G27"/>
    <mergeCell ref="F26:G26"/>
    <mergeCell ref="F24:G24"/>
    <mergeCell ref="F25:G25"/>
    <mergeCell ref="C15:D15"/>
    <mergeCell ref="C10:D10"/>
    <mergeCell ref="C19:D19"/>
    <mergeCell ref="C20:D20"/>
    <mergeCell ref="C11:D11"/>
    <mergeCell ref="C13:D13"/>
    <mergeCell ref="C14:D14"/>
    <mergeCell ref="C18:D18"/>
    <mergeCell ref="F49:G49"/>
    <mergeCell ref="F40:G40"/>
    <mergeCell ref="F41:G41"/>
    <mergeCell ref="F42:G42"/>
    <mergeCell ref="F43:G43"/>
    <mergeCell ref="F48:G48"/>
    <mergeCell ref="F44:G44"/>
    <mergeCell ref="F45:G45"/>
    <mergeCell ref="F47:G47"/>
    <mergeCell ref="F46:G46"/>
  </mergeCells>
  <phoneticPr fontId="8" type="noConversion"/>
  <conditionalFormatting sqref="C30">
    <cfRule type="cellIs" dxfId="26" priority="42" stopIfTrue="1" operator="notBetween">
      <formula>5</formula>
      <formula>15</formula>
    </cfRule>
  </conditionalFormatting>
  <conditionalFormatting sqref="K23 K41">
    <cfRule type="expression" dxfId="25" priority="44" stopIfTrue="1">
      <formula>AND(Vsortie_de_rampe&lt;18, OR(LEFT(Type_fusee,1)=",",LEFT(Type_fusee,4)="Mini",LEFT(Type_fusee,1)="R"))</formula>
    </cfRule>
    <cfRule type="expression" dxfId="24" priority="45" stopIfTrue="1">
      <formula>AND(Vsortie_de_rampe&lt;20, RIGHT(Type_fusee,1)=".")</formula>
    </cfRule>
  </conditionalFormatting>
  <conditionalFormatting sqref="D30">
    <cfRule type="expression" dxfId="23" priority="40" stopIfTrue="1">
      <formula>Nb_sat="0 satellite"</formula>
    </cfRule>
    <cfRule type="cellIs" dxfId="22" priority="49" stopIfTrue="1" operator="notBetween">
      <formula>5</formula>
      <formula>15</formula>
    </cfRule>
  </conditionalFormatting>
  <conditionalFormatting sqref="H25:M25">
    <cfRule type="expression" dxfId="21" priority="41" stopIfTrue="1">
      <formula>Nb_sat="0 satellite"</formula>
    </cfRule>
  </conditionalFormatting>
  <conditionalFormatting sqref="D24">
    <cfRule type="expression" dxfId="20" priority="39" stopIfTrue="1">
      <formula>Nb_sat="0 satellite"</formula>
    </cfRule>
  </conditionalFormatting>
  <conditionalFormatting sqref="D26:D29 D31:D33">
    <cfRule type="expression" dxfId="19" priority="59" stopIfTrue="1">
      <formula>Nb_sat="0 satellite"</formula>
    </cfRule>
  </conditionalFormatting>
  <conditionalFormatting sqref="K40">
    <cfRule type="expression" dxfId="18" priority="34" stopIfTrue="1">
      <formula>AND( $K$21=0, OR( $I$21&gt;0, $J$21&gt;0 ) )</formula>
    </cfRule>
  </conditionalFormatting>
  <conditionalFormatting sqref="F25">
    <cfRule type="expression" dxfId="17" priority="26" stopIfTrue="1">
      <formula>Nb_sat="0 satellite"</formula>
    </cfRule>
  </conditionalFormatting>
  <conditionalFormatting sqref="F34:I34 F48:M48">
    <cfRule type="expression" dxfId="16" priority="22" stopIfTrue="1">
      <formula>Nb_sat="0 satellite"</formula>
    </cfRule>
  </conditionalFormatting>
  <conditionalFormatting sqref="F49:M49">
    <cfRule type="expression" dxfId="15" priority="21" stopIfTrue="1">
      <formula>Nb_sat="0 satellite"</formula>
    </cfRule>
  </conditionalFormatting>
  <conditionalFormatting sqref="N34">
    <cfRule type="expression" dxfId="14" priority="16" stopIfTrue="1">
      <formula>$N$34="propu NOK"</formula>
    </cfRule>
  </conditionalFormatting>
  <conditionalFormatting sqref="N33">
    <cfRule type="expression" dxfId="13" priority="15" stopIfTrue="1">
      <formula>ROUND(SUM(C23:L34),0)=1914</formula>
    </cfRule>
  </conditionalFormatting>
  <conditionalFormatting sqref="H32:I32">
    <cfRule type="cellIs" dxfId="12" priority="14" stopIfTrue="1" operator="equal">
      <formula>"Brun/Orange…"</formula>
    </cfRule>
  </conditionalFormatting>
  <conditionalFormatting sqref="H33:I33">
    <cfRule type="cellIs" dxfId="11" priority="13" stopIfTrue="1" operator="equal">
      <formula>"Rouge…"</formula>
    </cfRule>
  </conditionalFormatting>
  <conditionalFormatting sqref="J28 J45">
    <cfRule type="expression" dxfId="10" priority="6" stopIfTrue="1">
      <formula>AND(Portee_balistique&gt;200,LEFT(Type_propu,4)="Mini")</formula>
    </cfRule>
  </conditionalFormatting>
  <conditionalFormatting sqref="H27 H46">
    <cfRule type="expression" dxfId="9" priority="4" stopIfTrue="1">
      <formula>ABS(Temps_culmi-T_para)&gt;2</formula>
    </cfRule>
  </conditionalFormatting>
  <conditionalFormatting sqref="B26">
    <cfRule type="expression" dxfId="8" priority="89" stopIfTrue="1">
      <formula>NOT(OR(C25=F108,C25=F102,Nb_sat="1 satellite"))</formula>
    </cfRule>
  </conditionalFormatting>
  <conditionalFormatting sqref="C26">
    <cfRule type="expression" dxfId="7" priority="91" stopIfTrue="1">
      <formula>NOT(OR(C25=F108,C25=F102))</formula>
    </cfRule>
  </conditionalFormatting>
  <conditionalFormatting sqref="D25">
    <cfRule type="expression" dxfId="6" priority="2" stopIfTrue="1">
      <formula>Nb_sat="0 satellite"</formula>
    </cfRule>
  </conditionalFormatting>
  <dataValidations count="14">
    <dataValidation type="decimal" operator="greaterThanOrEqual" showErrorMessage="1" sqref="H40:K40 C29 C26 D26:D27" xr:uid="{00000000-0002-0000-0100-000000000000}">
      <formula1>0</formula1>
    </dataValidation>
    <dataValidation type="list" allowBlank="1" showInputMessage="1" showErrorMessage="1" sqref="H50" xr:uid="{00000000-0002-0000-0100-000001000000}">
      <formula1>gao</formula1>
    </dataValidation>
    <dataValidation operator="greaterThanOrEqual" showErrorMessage="1" sqref="D29 C27" xr:uid="{00000000-0002-0000-0100-000002000000}"/>
    <dataValidation type="decimal" errorStyle="warning" allowBlank="1" showErrorMessage="1" errorTitle="Cx para" error="Le Cx du parachute est souvent compris entre 0 et 2._x000a_Cx of parachute might be between 0 a 2." sqref="C28:D28" xr:uid="{00000000-0002-0000-0100-000003000000}">
      <formula1>0</formula1>
      <formula2>2</formula2>
    </dataValidation>
    <dataValidation sqref="C11:D11" xr:uid="{00000000-0002-0000-0100-000004000000}"/>
    <dataValidation operator="greaterThanOrEqual" sqref="C10:D10" xr:uid="{00000000-0002-0000-0100-000005000000}"/>
    <dataValidation type="decimal" errorStyle="warning" showErrorMessage="1" errorTitle="Cx" error="Le Cx est souvent compris entre 0,3 et 0,7._x000a_Cx may be between 0,3 &amp; 0,7." sqref="C15:D15" xr:uid="{00000000-0002-0000-0100-000006000000}">
      <formula1>0.3</formula1>
      <formula2>0.7</formula2>
    </dataValidation>
    <dataValidation type="decimal" operator="greaterThanOrEqual" allowBlank="1" showErrorMessage="1" sqref="C18:D18"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19:D19" xr:uid="{00000000-0002-0000-0100-000008000000}">
      <formula1>75</formula1>
      <formula2>85</formula2>
    </dataValidation>
    <dataValidation type="whole" operator="greaterThanOrEqual" allowBlank="1" showErrorMessage="1" sqref="C20:D20" xr:uid="{00000000-0002-0000-0100-000009000000}">
      <formula1>0</formula1>
    </dataValidation>
    <dataValidation type="whole" allowBlank="1" showErrorMessage="1" sqref="M40" xr:uid="{00000000-0002-0000-0100-00000A000000}">
      <formula1>-360</formula1>
      <formula2>360</formula2>
    </dataValidation>
    <dataValidation type="list" showInputMessage="1" showErrorMessage="1" sqref="D23" xr:uid="{00000000-0002-0000-0100-00000B000000}">
      <formula1>Menu_sat</formula1>
    </dataValidation>
    <dataValidation type="whole" operator="greaterThanOrEqual" showErrorMessage="1" sqref="B43 B45 B51 B53" xr:uid="{00000000-0002-0000-0100-00000C000000}">
      <formula1>0</formula1>
    </dataValidation>
    <dataValidation type="list" showInputMessage="1" showErrorMessage="1" sqref="C25" xr:uid="{00000000-0002-0000-0100-00000D000000}">
      <formula1>IF(Depotage&lt;&gt;0,IF(LEFT(Type_propu,5)="Micro",$F$108,$F$103:$F$108),$F$102)</formula1>
    </dataValidation>
  </dataValidations>
  <hyperlinks>
    <hyperlink ref="B11"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6:B132 B138:B149 C149 C151 C136:C138 C140:C147 C124:C130" formula="1"/>
    <ignoredError sqref="H44:I44 H47 J44:M44" evalError="1"/>
    <ignoredError sqref="G103:G107" numberStoredAsText="1"/>
    <ignoredError sqref="D24"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22860</xdr:colOff>
                <xdr:row>93</xdr:row>
                <xdr:rowOff>76200</xdr:rowOff>
              </from>
              <to>
                <xdr:col>4</xdr:col>
                <xdr:colOff>68580</xdr:colOff>
                <xdr:row>99</xdr:row>
                <xdr:rowOff>91440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769620</xdr:colOff>
                    <xdr:row>9</xdr:row>
                    <xdr:rowOff>15240</xdr:rowOff>
                  </from>
                  <to>
                    <xdr:col>4</xdr:col>
                    <xdr:colOff>0</xdr:colOff>
                    <xdr:row>10</xdr:row>
                    <xdr:rowOff>0</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42</xdr:row>
                    <xdr:rowOff>15240</xdr:rowOff>
                  </from>
                  <to>
                    <xdr:col>2</xdr:col>
                    <xdr:colOff>0</xdr:colOff>
                    <xdr:row>43</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44</xdr:row>
                    <xdr:rowOff>15240</xdr:rowOff>
                  </from>
                  <to>
                    <xdr:col>2</xdr:col>
                    <xdr:colOff>0</xdr:colOff>
                    <xdr:row>45</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50</xdr:row>
                    <xdr:rowOff>15240</xdr:rowOff>
                  </from>
                  <to>
                    <xdr:col>2</xdr:col>
                    <xdr:colOff>0</xdr:colOff>
                    <xdr:row>51</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52</xdr:row>
                    <xdr:rowOff>15240</xdr:rowOff>
                  </from>
                  <to>
                    <xdr:col>2</xdr:col>
                    <xdr:colOff>0</xdr:colOff>
                    <xdr:row>53</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heetViews>
  <sheetFormatPr baseColWidth="10" defaultRowHeight="13.2" x14ac:dyDescent="0.25"/>
  <sheetData>
    <row r="75" spans="2:2" x14ac:dyDescent="0.25">
      <c r="B75" t="s">
        <v>44</v>
      </c>
    </row>
    <row r="76" spans="2:2" x14ac:dyDescent="0.25">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5">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5">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5">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5">
      <c r="B131" s="24" t="str">
        <f>IF(Lang="Français","Textes pour les graphiques :","Texts for graphics :")</f>
        <v>Textes pour les graphiques :</v>
      </c>
    </row>
    <row r="133" spans="2:2" x14ac:dyDescent="0.25">
      <c r="B133" t="str">
        <f>IF(Lang="Français","Traînée",IF(Lang="English","Drag",""))</f>
        <v>Traînée</v>
      </c>
    </row>
    <row r="134" spans="2:2" x14ac:dyDescent="0.25">
      <c r="B134" t="str">
        <f>IF(Lang="Français","Poussée",IF(Lang="English","Thrust",""))</f>
        <v>Poussée</v>
      </c>
    </row>
    <row r="135" spans="2:2" x14ac:dyDescent="0.25">
      <c r="B135" t="str">
        <f>IF(Lang="Français","Poids",IF(Lang="English","Weight",""))</f>
        <v>Poids</v>
      </c>
    </row>
    <row r="137" spans="2:2" x14ac:dyDescent="0.25">
      <c r="B137" t="str">
        <f>IF(Lang="Français","Accélération longitudinale",IF(Lang="English","Longitudinal Acceleration",""))</f>
        <v>Accélération longitudinale</v>
      </c>
    </row>
    <row r="138" spans="2:2" x14ac:dyDescent="0.25">
      <c r="B138" t="str">
        <f>IF(Lang="Français","Charge vue par un capteur",IF(Lang="English","Load seen by a sensor",""))</f>
        <v>Charge vue par un capteur</v>
      </c>
    </row>
    <row r="140" spans="2:2" x14ac:dyDescent="0.25">
      <c r="B140" t="str">
        <f>IF(Lang="Français","Vitesse",IF(Lang="English","Velocity",""))</f>
        <v>Vitesse</v>
      </c>
    </row>
    <row r="141" spans="2:2" x14ac:dyDescent="0.25">
      <c r="B141" t="str">
        <f>IF(Lang="Français","Vitesse [m/s]",IF(Lang="English","Velocity [m/s]",""))</f>
        <v>Vitesse [m/s]</v>
      </c>
    </row>
    <row r="143" spans="2:2" x14ac:dyDescent="0.25">
      <c r="B143" t="s">
        <v>6</v>
      </c>
    </row>
    <row r="144" spans="2:2" x14ac:dyDescent="0.25">
      <c r="B144" t="str">
        <f>IF(Lang="Français","Portée",IF(Lang="English","Range",""))</f>
        <v>Portée</v>
      </c>
    </row>
    <row r="146" spans="2:2" x14ac:dyDescent="0.25">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zoomScale="80" zoomScaleNormal="80" workbookViewId="0">
      <selection activeCell="K6" sqref="K6"/>
    </sheetView>
  </sheetViews>
  <sheetFormatPr baseColWidth="10" defaultRowHeight="13.2" x14ac:dyDescent="0.25"/>
  <cols>
    <col min="1" max="1" width="22.6640625" bestFit="1" customWidth="1"/>
  </cols>
  <sheetData>
    <row r="1" spans="1:26" ht="13.8" thickBot="1" x14ac:dyDescent="0.3">
      <c r="A1" s="362" t="str">
        <f>IF(Lang="Français","Moteur sélectionné","Selected motor")</f>
        <v>Moteur sélectionné</v>
      </c>
      <c r="B1" s="362" t="s">
        <v>32</v>
      </c>
    </row>
    <row r="2" spans="1:26" ht="13.8" thickBot="1" x14ac:dyDescent="0.3">
      <c r="A2" s="352" t="str">
        <f>Propu</f>
        <v>Orignal (Pro75-3G C)</v>
      </c>
      <c r="B2" s="352">
        <f>VLOOKUP(A2,A26:B314,2,FALSE)</f>
        <v>289</v>
      </c>
      <c r="C2" s="363" t="s">
        <v>116</v>
      </c>
      <c r="D2" s="353">
        <f ca="1">INDIRECT(ADDRESS(B2,4))</f>
        <v>3739.0284999999994</v>
      </c>
      <c r="E2" s="363" t="s">
        <v>115</v>
      </c>
      <c r="F2" s="354">
        <f ca="1">INDIRECT(ADDRESS(B2,6))</f>
        <v>203.4941790441234</v>
      </c>
      <c r="G2" s="363" t="s">
        <v>57</v>
      </c>
      <c r="H2" s="355">
        <f ca="1">INDIRECT(ADDRESS(B2,8))</f>
        <v>3.5110000000000001</v>
      </c>
      <c r="I2" s="363" t="s">
        <v>274</v>
      </c>
      <c r="J2" s="356">
        <f ca="1">INDIRECT(ADDRESS(B2,10))</f>
        <v>1.8730000000000002</v>
      </c>
      <c r="K2" s="363" t="s">
        <v>59</v>
      </c>
      <c r="L2" s="355">
        <f ca="1">INDIRECT(ADDRESS(B2,12))</f>
        <v>1.6379999999999999</v>
      </c>
      <c r="M2" s="363" t="s">
        <v>58</v>
      </c>
      <c r="N2" s="357">
        <f ca="1">INDIRECT(ADDRESS(B2,14))</f>
        <v>243</v>
      </c>
      <c r="O2" s="363" t="s">
        <v>60</v>
      </c>
      <c r="P2" s="357">
        <f ca="1">INDIRECT(ADDRESS(B2,16))</f>
        <v>243</v>
      </c>
      <c r="Q2" s="363" t="s">
        <v>61</v>
      </c>
      <c r="R2" s="357">
        <f ca="1">INDIRECT(ADDRESS(B2,18))</f>
        <v>486</v>
      </c>
      <c r="S2" s="363" t="s">
        <v>62</v>
      </c>
      <c r="T2" s="357">
        <f ca="1">INDIRECT(ADDRESS(B2,20))</f>
        <v>75</v>
      </c>
      <c r="U2" s="363" t="s">
        <v>55</v>
      </c>
      <c r="V2" s="358" t="str">
        <f ca="1">INDIRECT(ADDRESS(B2,22))</f>
        <v>Fusex</v>
      </c>
      <c r="W2" s="463" t="s">
        <v>396</v>
      </c>
      <c r="X2" s="464">
        <f ca="1">INDIRECT(ADDRESS(B2,24))</f>
        <v>0</v>
      </c>
      <c r="Y2" s="463" t="s">
        <v>395</v>
      </c>
      <c r="Z2" s="358">
        <f ca="1">INDIRECT(ADDRESS(B2,26))</f>
        <v>0</v>
      </c>
    </row>
    <row r="3" spans="1:26" x14ac:dyDescent="0.25">
      <c r="A3" s="362" t="str">
        <f>IF(Lang="Français","Temps (en s)","Time (s)")</f>
        <v>Temps (en s)</v>
      </c>
      <c r="B3" s="364">
        <f t="shared" ref="B3:Y3" ca="1" si="0">INDIRECT(ADDRESS($B2+1,COLUMN(B3)))</f>
        <v>0</v>
      </c>
      <c r="C3" s="365">
        <f t="shared" ca="1" si="0"/>
        <v>0.01</v>
      </c>
      <c r="D3" s="365">
        <f t="shared" ca="1" si="0"/>
        <v>0.1</v>
      </c>
      <c r="E3" s="365">
        <f t="shared" ca="1" si="0"/>
        <v>0.12</v>
      </c>
      <c r="F3" s="365">
        <f t="shared" ca="1" si="0"/>
        <v>0.26</v>
      </c>
      <c r="G3" s="365">
        <f t="shared" ca="1" si="0"/>
        <v>0.71</v>
      </c>
      <c r="H3" s="365">
        <f t="shared" ca="1" si="0"/>
        <v>1.28</v>
      </c>
      <c r="I3" s="365">
        <f t="shared" ca="1" si="0"/>
        <v>2.0499999999999998</v>
      </c>
      <c r="J3" s="365">
        <f t="shared" ca="1" si="0"/>
        <v>2.41</v>
      </c>
      <c r="K3" s="365">
        <f t="shared" ca="1" si="0"/>
        <v>2.83</v>
      </c>
      <c r="L3" s="365">
        <f t="shared" ca="1" si="0"/>
        <v>3.25</v>
      </c>
      <c r="M3" s="365">
        <f t="shared" ca="1" si="0"/>
        <v>3.65</v>
      </c>
      <c r="N3" s="365">
        <f t="shared" ca="1" si="0"/>
        <v>3.8</v>
      </c>
      <c r="O3" s="365">
        <f t="shared" ca="1" si="0"/>
        <v>4</v>
      </c>
      <c r="P3" s="365">
        <f t="shared" ca="1" si="0"/>
        <v>4.0999999999999996</v>
      </c>
      <c r="Q3" s="365">
        <f t="shared" ca="1" si="0"/>
        <v>4.1900000000000004</v>
      </c>
      <c r="R3" s="365">
        <f t="shared" ca="1" si="0"/>
        <v>4.3099999999999996</v>
      </c>
      <c r="S3" s="365">
        <f t="shared" ca="1" si="0"/>
        <v>4.41</v>
      </c>
      <c r="T3" s="365">
        <f t="shared" ca="1" si="0"/>
        <v>4.5199999999999996</v>
      </c>
      <c r="U3" s="365">
        <f t="shared" ca="1" si="0"/>
        <v>4.5999999999999996</v>
      </c>
      <c r="V3" s="365">
        <f t="shared" ca="1" si="0"/>
        <v>4.6500000000000004</v>
      </c>
      <c r="W3" s="365">
        <f t="shared" ca="1" si="0"/>
        <v>4.67</v>
      </c>
      <c r="X3" s="365">
        <f ca="1">INDIRECT(ADDRESS($B2+1,COLUMN(X3)))</f>
        <v>4.68</v>
      </c>
      <c r="Y3" s="366">
        <f t="shared" ca="1" si="0"/>
        <v>1000</v>
      </c>
    </row>
    <row r="4" spans="1:26" ht="13.8" thickBot="1" x14ac:dyDescent="0.3">
      <c r="A4" s="379" t="str">
        <f>IF(Lang="Français","Poussée (en N)","Thrust (N)")</f>
        <v>Poussée (en N)</v>
      </c>
      <c r="B4" s="367">
        <f t="shared" ref="B4:Y4" ca="1" si="1">INDIRECT(ADDRESS($B2+2,COLUMN(B3)))</f>
        <v>27</v>
      </c>
      <c r="C4" s="368">
        <f t="shared" ca="1" si="1"/>
        <v>402.4</v>
      </c>
      <c r="D4" s="368">
        <f t="shared" ca="1" si="1"/>
        <v>1286</v>
      </c>
      <c r="E4" s="368">
        <f t="shared" ca="1" si="1"/>
        <v>1257</v>
      </c>
      <c r="F4" s="368">
        <f t="shared" ca="1" si="1"/>
        <v>1042</v>
      </c>
      <c r="G4" s="368">
        <f t="shared" ca="1" si="1"/>
        <v>1027</v>
      </c>
      <c r="H4" s="368">
        <f t="shared" ca="1" si="1"/>
        <v>998.4</v>
      </c>
      <c r="I4" s="368">
        <f t="shared" ca="1" si="1"/>
        <v>901.4</v>
      </c>
      <c r="J4" s="368">
        <f t="shared" ca="1" si="1"/>
        <v>849.6</v>
      </c>
      <c r="K4" s="368">
        <f t="shared" ca="1" si="1"/>
        <v>763.5</v>
      </c>
      <c r="L4" s="368">
        <f t="shared" ca="1" si="1"/>
        <v>707.1</v>
      </c>
      <c r="M4" s="368">
        <f t="shared" ca="1" si="1"/>
        <v>655.1</v>
      </c>
      <c r="N4" s="368">
        <f t="shared" ca="1" si="1"/>
        <v>651.70000000000005</v>
      </c>
      <c r="O4" s="368">
        <f t="shared" ca="1" si="1"/>
        <v>624.1</v>
      </c>
      <c r="P4" s="368">
        <f t="shared" ca="1" si="1"/>
        <v>601.29999999999995</v>
      </c>
      <c r="Q4" s="368">
        <f t="shared" ca="1" si="1"/>
        <v>536.20000000000005</v>
      </c>
      <c r="R4" s="368">
        <f t="shared" ca="1" si="1"/>
        <v>415.7</v>
      </c>
      <c r="S4" s="368">
        <f t="shared" ca="1" si="1"/>
        <v>270.2</v>
      </c>
      <c r="T4" s="368">
        <f t="shared" ca="1" si="1"/>
        <v>140.19999999999999</v>
      </c>
      <c r="U4" s="368">
        <f t="shared" ca="1" si="1"/>
        <v>76.900000000000006</v>
      </c>
      <c r="V4" s="368">
        <f t="shared" ca="1" si="1"/>
        <v>54.9</v>
      </c>
      <c r="W4" s="368">
        <f t="shared" ca="1" si="1"/>
        <v>40.200000000000003</v>
      </c>
      <c r="X4" s="368">
        <f ca="1">INDIRECT(ADDRESS($B2+2,COLUMN(X3)))</f>
        <v>0</v>
      </c>
      <c r="Y4" s="369">
        <f t="shared" ca="1" si="1"/>
        <v>0</v>
      </c>
    </row>
    <row r="5" spans="1:26" x14ac:dyDescent="0.25">
      <c r="B5" s="12"/>
      <c r="C5" s="12"/>
      <c r="D5" s="12"/>
      <c r="E5" s="12"/>
      <c r="F5" s="12"/>
      <c r="G5" s="12"/>
      <c r="H5" s="12"/>
      <c r="I5" s="12"/>
      <c r="J5" s="12"/>
      <c r="K5" s="12"/>
      <c r="L5" s="12"/>
      <c r="M5" s="12"/>
      <c r="N5" s="12"/>
      <c r="O5" s="12"/>
      <c r="P5" s="12"/>
      <c r="Q5" s="12"/>
      <c r="R5" s="12"/>
      <c r="S5" s="12"/>
      <c r="T5" s="12"/>
      <c r="U5" s="12"/>
      <c r="V5" s="12"/>
      <c r="W5" s="12"/>
      <c r="X5" s="12"/>
      <c r="Y5" s="12"/>
    </row>
    <row r="6" spans="1:26" x14ac:dyDescent="0.25">
      <c r="B6" s="12"/>
      <c r="C6" s="12"/>
      <c r="D6" s="12"/>
      <c r="E6" s="12"/>
      <c r="F6" s="12"/>
      <c r="G6" s="12"/>
      <c r="H6" s="12"/>
      <c r="I6" s="12"/>
      <c r="J6" s="12"/>
      <c r="K6" s="12"/>
      <c r="L6" s="12"/>
      <c r="M6" s="12"/>
      <c r="N6" s="12"/>
      <c r="O6" s="12"/>
      <c r="P6" s="12"/>
      <c r="Q6" s="12"/>
      <c r="R6" s="12"/>
      <c r="S6" s="12"/>
      <c r="T6" s="12"/>
      <c r="U6" s="12"/>
      <c r="V6" s="12"/>
      <c r="W6" s="12"/>
      <c r="X6" s="12"/>
      <c r="Y6" s="12"/>
    </row>
    <row r="7" spans="1:26" x14ac:dyDescent="0.25">
      <c r="B7" s="12"/>
      <c r="C7" s="12"/>
      <c r="D7" s="12"/>
      <c r="E7" s="12"/>
      <c r="F7" s="12"/>
      <c r="G7" s="12"/>
      <c r="H7" s="12"/>
      <c r="I7" s="12"/>
      <c r="J7" s="12"/>
      <c r="K7" s="12"/>
      <c r="L7" s="12"/>
      <c r="M7" s="12"/>
    </row>
    <row r="8" spans="1:26" x14ac:dyDescent="0.25">
      <c r="B8" s="12"/>
      <c r="C8" s="12"/>
      <c r="D8" s="12"/>
      <c r="E8" s="12"/>
      <c r="F8" s="12"/>
      <c r="G8" s="12"/>
      <c r="H8" s="12"/>
      <c r="I8" s="12"/>
      <c r="J8" s="12"/>
      <c r="K8" s="12"/>
      <c r="L8" s="12"/>
      <c r="M8" s="12"/>
    </row>
    <row r="9" spans="1:26" x14ac:dyDescent="0.25">
      <c r="B9" s="12"/>
      <c r="C9" s="12"/>
      <c r="D9" s="12"/>
      <c r="E9" s="12"/>
      <c r="F9" s="12"/>
      <c r="G9" s="12"/>
      <c r="H9" s="12"/>
      <c r="I9" s="12"/>
      <c r="J9" s="12"/>
      <c r="K9" s="12"/>
      <c r="L9" s="12"/>
      <c r="M9" s="12"/>
    </row>
    <row r="10" spans="1:26" x14ac:dyDescent="0.25">
      <c r="B10" s="12"/>
      <c r="C10" s="12"/>
      <c r="D10" s="12"/>
      <c r="E10" s="12"/>
      <c r="F10" s="12"/>
      <c r="G10" s="12"/>
      <c r="H10" s="12"/>
      <c r="I10" s="12"/>
      <c r="J10" s="12"/>
    </row>
    <row r="11" spans="1:26" x14ac:dyDescent="0.25">
      <c r="B11" s="12"/>
      <c r="C11" s="12"/>
      <c r="D11" s="12"/>
      <c r="E11" s="12"/>
      <c r="F11" s="12"/>
      <c r="G11" s="12"/>
      <c r="H11" s="12"/>
      <c r="I11" s="12"/>
      <c r="J11" s="12"/>
    </row>
    <row r="12" spans="1:26" x14ac:dyDescent="0.25">
      <c r="B12" s="12"/>
      <c r="C12" s="12"/>
      <c r="D12" s="12"/>
      <c r="E12" s="12"/>
      <c r="F12" s="12"/>
      <c r="G12" s="12"/>
      <c r="H12" s="12"/>
      <c r="I12" s="12"/>
      <c r="J12" s="12"/>
    </row>
    <row r="13" spans="1:26" x14ac:dyDescent="0.25">
      <c r="B13" s="12"/>
      <c r="C13" s="12"/>
      <c r="D13" s="12"/>
      <c r="E13" s="12"/>
      <c r="F13" s="12"/>
      <c r="G13" s="12"/>
      <c r="H13" s="12"/>
      <c r="I13" s="12"/>
      <c r="J13" s="12"/>
    </row>
    <row r="14" spans="1:26" x14ac:dyDescent="0.25">
      <c r="B14" s="12"/>
      <c r="C14" s="12"/>
      <c r="D14" s="12"/>
      <c r="E14" s="12"/>
      <c r="F14" s="12"/>
      <c r="G14" s="12"/>
      <c r="H14" s="12"/>
      <c r="I14" s="12"/>
      <c r="J14" s="12"/>
    </row>
    <row r="15" spans="1:26" x14ac:dyDescent="0.25">
      <c r="B15" s="12"/>
      <c r="C15" s="12"/>
      <c r="D15" s="12"/>
      <c r="E15" s="12"/>
      <c r="F15" s="12"/>
      <c r="G15" s="12"/>
      <c r="H15" s="12"/>
      <c r="I15" s="12"/>
      <c r="J15" s="12"/>
      <c r="K15" s="12"/>
      <c r="L15" s="12"/>
      <c r="M15" s="12"/>
    </row>
    <row r="16" spans="1:26" x14ac:dyDescent="0.25">
      <c r="B16" s="12"/>
      <c r="C16" s="12"/>
      <c r="D16" s="12"/>
      <c r="E16" s="12"/>
      <c r="F16" s="12"/>
      <c r="G16" s="12"/>
      <c r="H16" s="12"/>
      <c r="I16" s="12"/>
      <c r="J16" s="12"/>
      <c r="K16" s="12"/>
      <c r="L16" s="12"/>
      <c r="M16" s="12"/>
    </row>
    <row r="17" spans="1:25" x14ac:dyDescent="0.25">
      <c r="B17" s="12"/>
      <c r="C17" s="12"/>
      <c r="D17" s="12"/>
      <c r="E17" s="12"/>
      <c r="F17" s="12"/>
      <c r="G17" s="12"/>
      <c r="H17" s="12"/>
      <c r="I17" s="12"/>
      <c r="J17" s="12"/>
      <c r="K17" s="12"/>
      <c r="L17" s="12"/>
      <c r="M17" s="12"/>
    </row>
    <row r="18" spans="1:25" x14ac:dyDescent="0.25">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5">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5">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5">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5">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5">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8" thickBot="1" x14ac:dyDescent="0.3">
      <c r="A25" s="6" t="s">
        <v>277</v>
      </c>
    </row>
    <row r="26" spans="1:25" ht="13.8" thickBot="1" x14ac:dyDescent="0.3">
      <c r="A26" s="361" t="s">
        <v>310</v>
      </c>
      <c r="B26" s="359">
        <f>ROW(A26)</f>
        <v>26</v>
      </c>
      <c r="C26" s="363" t="s">
        <v>116</v>
      </c>
      <c r="D26" s="353">
        <f>SUM(B29:Y29)</f>
        <v>9.8449999999999989</v>
      </c>
      <c r="E26" s="363" t="s">
        <v>115</v>
      </c>
      <c r="F26" s="399">
        <f>D26/g/J26</f>
        <v>3.3452259599048584</v>
      </c>
      <c r="G26" s="363" t="s">
        <v>57</v>
      </c>
      <c r="H26" s="64">
        <v>0.3</v>
      </c>
      <c r="I26" s="363" t="s">
        <v>272</v>
      </c>
      <c r="J26" s="355">
        <f>H26-L26</f>
        <v>0.3</v>
      </c>
      <c r="K26" s="363" t="s">
        <v>273</v>
      </c>
      <c r="L26" s="64">
        <v>0</v>
      </c>
      <c r="M26" s="363" t="s">
        <v>58</v>
      </c>
      <c r="N26" s="65">
        <f>0.2*R26</f>
        <v>60</v>
      </c>
      <c r="O26" s="363" t="s">
        <v>60</v>
      </c>
      <c r="P26" s="65">
        <v>150</v>
      </c>
      <c r="Q26" s="363" t="s">
        <v>61</v>
      </c>
      <c r="R26" s="65">
        <v>300</v>
      </c>
      <c r="S26" s="363" t="s">
        <v>62</v>
      </c>
      <c r="T26" s="65">
        <v>90</v>
      </c>
      <c r="U26" s="363" t="s">
        <v>55</v>
      </c>
      <c r="V26" s="66" t="s">
        <v>277</v>
      </c>
      <c r="W26" s="12"/>
      <c r="X26" s="12"/>
      <c r="Y26" s="12"/>
    </row>
    <row r="27" spans="1:25" x14ac:dyDescent="0.25">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5">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8" thickBot="1" x14ac:dyDescent="0.3">
      <c r="A29" s="379" t="s">
        <v>117</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8" thickBot="1" x14ac:dyDescent="0.3">
      <c r="A30" s="12"/>
      <c r="L30" s="12"/>
      <c r="M30" s="12"/>
      <c r="N30" s="12"/>
      <c r="O30" s="12"/>
      <c r="P30" s="12"/>
      <c r="Q30" s="12"/>
      <c r="R30" s="12"/>
      <c r="S30" s="12"/>
      <c r="T30" s="12"/>
      <c r="U30" s="12"/>
      <c r="V30" s="12"/>
      <c r="W30" s="12"/>
      <c r="X30" s="12"/>
      <c r="Y30" s="12"/>
    </row>
    <row r="31" spans="1:25" ht="13.8" thickBot="1" x14ac:dyDescent="0.3">
      <c r="A31" s="361" t="s">
        <v>311</v>
      </c>
      <c r="B31" s="359">
        <f>ROW(A31)</f>
        <v>31</v>
      </c>
      <c r="C31" s="363" t="s">
        <v>116</v>
      </c>
      <c r="D31" s="353">
        <f>SUM(B34:Y34)</f>
        <v>13.814500000000002</v>
      </c>
      <c r="E31" s="363" t="s">
        <v>115</v>
      </c>
      <c r="F31" s="399">
        <f>D31/g/J31</f>
        <v>3.1293464718541175</v>
      </c>
      <c r="G31" s="363" t="s">
        <v>57</v>
      </c>
      <c r="H31" s="64">
        <v>0.45</v>
      </c>
      <c r="I31" s="363" t="s">
        <v>272</v>
      </c>
      <c r="J31" s="355">
        <f>H31-L31</f>
        <v>0.45</v>
      </c>
      <c r="K31" s="363" t="s">
        <v>273</v>
      </c>
      <c r="L31" s="64">
        <v>0</v>
      </c>
      <c r="M31" s="363" t="s">
        <v>58</v>
      </c>
      <c r="N31" s="65">
        <f>0.3*R31</f>
        <v>90</v>
      </c>
      <c r="O31" s="363" t="s">
        <v>60</v>
      </c>
      <c r="P31" s="65">
        <v>150</v>
      </c>
      <c r="Q31" s="363" t="s">
        <v>61</v>
      </c>
      <c r="R31" s="65">
        <v>300</v>
      </c>
      <c r="S31" s="363" t="s">
        <v>62</v>
      </c>
      <c r="T31" s="65">
        <v>90</v>
      </c>
      <c r="U31" s="363" t="s">
        <v>55</v>
      </c>
      <c r="V31" s="66" t="s">
        <v>277</v>
      </c>
      <c r="W31" s="12"/>
      <c r="X31" s="12"/>
      <c r="Y31" s="12"/>
    </row>
    <row r="32" spans="1:25" x14ac:dyDescent="0.25">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5">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8" thickBot="1" x14ac:dyDescent="0.3">
      <c r="A34" s="379" t="s">
        <v>117</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8" thickBot="1" x14ac:dyDescent="0.3">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8" thickBot="1" x14ac:dyDescent="0.3">
      <c r="A36" s="361" t="s">
        <v>312</v>
      </c>
      <c r="B36" s="359">
        <f>ROW(A36)</f>
        <v>36</v>
      </c>
      <c r="C36" s="363" t="s">
        <v>116</v>
      </c>
      <c r="D36" s="353">
        <f>SUM(B39:Y39)</f>
        <v>17.144499999999997</v>
      </c>
      <c r="E36" s="363" t="s">
        <v>115</v>
      </c>
      <c r="F36" s="399">
        <f>D36/g/J36</f>
        <v>2.9127590893645934</v>
      </c>
      <c r="G36" s="363" t="s">
        <v>57</v>
      </c>
      <c r="H36" s="64">
        <v>0.6</v>
      </c>
      <c r="I36" s="363" t="s">
        <v>272</v>
      </c>
      <c r="J36" s="355">
        <f>H36-L36</f>
        <v>0.6</v>
      </c>
      <c r="K36" s="363" t="s">
        <v>273</v>
      </c>
      <c r="L36" s="64">
        <v>0</v>
      </c>
      <c r="M36" s="363" t="s">
        <v>58</v>
      </c>
      <c r="N36" s="65">
        <f>0.4*R36</f>
        <v>120</v>
      </c>
      <c r="O36" s="363" t="s">
        <v>60</v>
      </c>
      <c r="P36" s="65">
        <v>150</v>
      </c>
      <c r="Q36" s="363" t="s">
        <v>61</v>
      </c>
      <c r="R36" s="65">
        <v>300</v>
      </c>
      <c r="S36" s="363" t="s">
        <v>62</v>
      </c>
      <c r="T36" s="65">
        <v>90</v>
      </c>
      <c r="U36" s="363" t="s">
        <v>55</v>
      </c>
      <c r="V36" s="66" t="s">
        <v>277</v>
      </c>
      <c r="W36" s="12"/>
      <c r="X36" s="12"/>
      <c r="Y36" s="12"/>
    </row>
    <row r="37" spans="1:25" x14ac:dyDescent="0.25">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5">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8" thickBot="1" x14ac:dyDescent="0.3">
      <c r="A39" s="379" t="s">
        <v>117</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8" thickBot="1" x14ac:dyDescent="0.3">
      <c r="A40" s="12"/>
      <c r="L40" s="12"/>
      <c r="M40" s="12"/>
      <c r="N40" s="12"/>
      <c r="O40" s="12"/>
      <c r="P40" s="12"/>
      <c r="Q40" s="12"/>
      <c r="R40" s="12"/>
      <c r="S40" s="12"/>
      <c r="T40" s="12"/>
      <c r="U40" s="12"/>
      <c r="V40" s="12"/>
      <c r="W40" s="12"/>
      <c r="X40" s="12"/>
      <c r="Y40" s="12"/>
    </row>
    <row r="41" spans="1:25" ht="13.8" thickBot="1" x14ac:dyDescent="0.3">
      <c r="A41" s="361" t="s">
        <v>313</v>
      </c>
      <c r="B41" s="359">
        <f>ROW(A41)</f>
        <v>41</v>
      </c>
      <c r="C41" s="363" t="s">
        <v>116</v>
      </c>
      <c r="D41" s="353">
        <f>SUM(B44:Y44)</f>
        <v>19.415000000000003</v>
      </c>
      <c r="E41" s="363" t="s">
        <v>115</v>
      </c>
      <c r="F41" s="399">
        <f>D41/g/J41</f>
        <v>2.6388039415562354</v>
      </c>
      <c r="G41" s="363" t="s">
        <v>57</v>
      </c>
      <c r="H41" s="64">
        <v>0.75</v>
      </c>
      <c r="I41" s="363" t="s">
        <v>272</v>
      </c>
      <c r="J41" s="355">
        <f>H41-L41</f>
        <v>0.75</v>
      </c>
      <c r="K41" s="363" t="s">
        <v>273</v>
      </c>
      <c r="L41" s="64">
        <v>0</v>
      </c>
      <c r="M41" s="363" t="s">
        <v>58</v>
      </c>
      <c r="N41" s="65">
        <f>0.5*R41</f>
        <v>150</v>
      </c>
      <c r="O41" s="363" t="s">
        <v>60</v>
      </c>
      <c r="P41" s="65">
        <v>150</v>
      </c>
      <c r="Q41" s="363" t="s">
        <v>61</v>
      </c>
      <c r="R41" s="65">
        <v>300</v>
      </c>
      <c r="S41" s="363" t="s">
        <v>62</v>
      </c>
      <c r="T41" s="65">
        <v>90</v>
      </c>
      <c r="U41" s="363" t="s">
        <v>55</v>
      </c>
      <c r="V41" s="66" t="s">
        <v>277</v>
      </c>
      <c r="W41" s="12"/>
      <c r="X41" s="12"/>
      <c r="Y41" s="12"/>
    </row>
    <row r="42" spans="1:25" x14ac:dyDescent="0.25">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5">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8" thickBot="1" x14ac:dyDescent="0.3">
      <c r="A44" s="379" t="s">
        <v>117</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8" thickBot="1" x14ac:dyDescent="0.3"/>
    <row r="46" spans="1:25" ht="13.8" thickBot="1" x14ac:dyDescent="0.3">
      <c r="A46" s="361" t="s">
        <v>278</v>
      </c>
      <c r="B46" s="359">
        <f>ROW(A46)</f>
        <v>46</v>
      </c>
      <c r="C46" s="363" t="s">
        <v>116</v>
      </c>
      <c r="D46" s="353">
        <f>SUM(B49:Y49)</f>
        <v>12.8695</v>
      </c>
      <c r="E46" s="363" t="s">
        <v>115</v>
      </c>
      <c r="F46" s="399">
        <f>D46/g/J46</f>
        <v>3.2796890927624869</v>
      </c>
      <c r="G46" s="363" t="s">
        <v>57</v>
      </c>
      <c r="H46" s="64">
        <v>0.5</v>
      </c>
      <c r="I46" s="363" t="s">
        <v>272</v>
      </c>
      <c r="J46" s="355">
        <f>H46-L46</f>
        <v>0.4</v>
      </c>
      <c r="K46" s="363" t="s">
        <v>273</v>
      </c>
      <c r="L46" s="64">
        <v>0.1</v>
      </c>
      <c r="M46" s="363" t="s">
        <v>58</v>
      </c>
      <c r="N46" s="65">
        <f>0.2*R46</f>
        <v>60</v>
      </c>
      <c r="O46" s="363" t="s">
        <v>60</v>
      </c>
      <c r="P46" s="65">
        <v>150</v>
      </c>
      <c r="Q46" s="363" t="s">
        <v>61</v>
      </c>
      <c r="R46" s="65">
        <v>300</v>
      </c>
      <c r="S46" s="363" t="s">
        <v>62</v>
      </c>
      <c r="T46" s="65">
        <v>98</v>
      </c>
      <c r="U46" s="363" t="s">
        <v>55</v>
      </c>
      <c r="V46" s="66" t="s">
        <v>277</v>
      </c>
      <c r="W46" s="12"/>
      <c r="X46" s="12"/>
      <c r="Y46" s="12"/>
    </row>
    <row r="47" spans="1:25" x14ac:dyDescent="0.25">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5">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8" thickBot="1" x14ac:dyDescent="0.3">
      <c r="A49" s="379" t="s">
        <v>117</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8" thickBot="1" x14ac:dyDescent="0.3">
      <c r="A50" s="12"/>
      <c r="L50" s="12"/>
      <c r="M50" s="12"/>
      <c r="N50" s="12"/>
      <c r="O50" s="12"/>
      <c r="P50" s="12"/>
      <c r="Q50" s="12"/>
      <c r="R50" s="12"/>
      <c r="S50" s="12"/>
      <c r="T50" s="12"/>
      <c r="U50" s="12"/>
      <c r="V50" s="12"/>
      <c r="W50" s="12"/>
      <c r="X50" s="12"/>
      <c r="Y50" s="12"/>
    </row>
    <row r="51" spans="1:25" ht="13.8" thickBot="1" x14ac:dyDescent="0.3">
      <c r="A51" s="361" t="s">
        <v>279</v>
      </c>
      <c r="B51" s="359">
        <f>ROW(A51)</f>
        <v>51</v>
      </c>
      <c r="C51" s="363" t="s">
        <v>116</v>
      </c>
      <c r="D51" s="353">
        <f>SUM(B54:Y54)</f>
        <v>18.123500000000003</v>
      </c>
      <c r="E51" s="363" t="s">
        <v>115</v>
      </c>
      <c r="F51" s="399">
        <f>D51/g/J51</f>
        <v>3.0790859667006463</v>
      </c>
      <c r="G51" s="363" t="s">
        <v>57</v>
      </c>
      <c r="H51" s="64">
        <v>0.7</v>
      </c>
      <c r="I51" s="363" t="s">
        <v>272</v>
      </c>
      <c r="J51" s="355">
        <f>H51-L51</f>
        <v>0.6</v>
      </c>
      <c r="K51" s="363" t="s">
        <v>273</v>
      </c>
      <c r="L51" s="64">
        <v>0.1</v>
      </c>
      <c r="M51" s="363" t="s">
        <v>58</v>
      </c>
      <c r="N51" s="65">
        <f>0.3*R51</f>
        <v>90</v>
      </c>
      <c r="O51" s="363" t="s">
        <v>60</v>
      </c>
      <c r="P51" s="65">
        <v>150</v>
      </c>
      <c r="Q51" s="363" t="s">
        <v>61</v>
      </c>
      <c r="R51" s="65">
        <v>300</v>
      </c>
      <c r="S51" s="363" t="s">
        <v>62</v>
      </c>
      <c r="T51" s="65">
        <v>98</v>
      </c>
      <c r="U51" s="363" t="s">
        <v>55</v>
      </c>
      <c r="V51" s="66" t="s">
        <v>277</v>
      </c>
      <c r="W51" s="12"/>
      <c r="X51" s="12"/>
      <c r="Y51" s="12"/>
    </row>
    <row r="52" spans="1:25" x14ac:dyDescent="0.25">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5">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8" thickBot="1" x14ac:dyDescent="0.3">
      <c r="A54" s="379" t="s">
        <v>117</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8" thickBot="1" x14ac:dyDescent="0.3">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8" thickBot="1" x14ac:dyDescent="0.3">
      <c r="A56" s="361" t="s">
        <v>280</v>
      </c>
      <c r="B56" s="359">
        <f>ROW(A56)</f>
        <v>56</v>
      </c>
      <c r="C56" s="363" t="s">
        <v>116</v>
      </c>
      <c r="D56" s="353">
        <f>SUM(B59:Y59)</f>
        <v>22.610000000000003</v>
      </c>
      <c r="E56" s="363" t="s">
        <v>115</v>
      </c>
      <c r="F56" s="399">
        <f>D56/g/J56</f>
        <v>2.88098878695209</v>
      </c>
      <c r="G56" s="363" t="s">
        <v>57</v>
      </c>
      <c r="H56" s="64">
        <v>0.9</v>
      </c>
      <c r="I56" s="363" t="s">
        <v>272</v>
      </c>
      <c r="J56" s="355">
        <f>H56-L56</f>
        <v>0.8</v>
      </c>
      <c r="K56" s="363" t="s">
        <v>273</v>
      </c>
      <c r="L56" s="64">
        <v>0.1</v>
      </c>
      <c r="M56" s="363" t="s">
        <v>58</v>
      </c>
      <c r="N56" s="65">
        <f>0.4*R56</f>
        <v>120</v>
      </c>
      <c r="O56" s="363" t="s">
        <v>60</v>
      </c>
      <c r="P56" s="65">
        <v>150</v>
      </c>
      <c r="Q56" s="363" t="s">
        <v>61</v>
      </c>
      <c r="R56" s="65">
        <v>300</v>
      </c>
      <c r="S56" s="363" t="s">
        <v>62</v>
      </c>
      <c r="T56" s="65">
        <v>98</v>
      </c>
      <c r="U56" s="363" t="s">
        <v>55</v>
      </c>
      <c r="V56" s="66" t="s">
        <v>277</v>
      </c>
      <c r="W56" s="12"/>
      <c r="X56" s="12"/>
      <c r="Y56" s="12"/>
    </row>
    <row r="57" spans="1:25" x14ac:dyDescent="0.25">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5">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8" thickBot="1" x14ac:dyDescent="0.3">
      <c r="A59" s="379" t="s">
        <v>117</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8" thickBot="1" x14ac:dyDescent="0.3">
      <c r="A60" s="12"/>
      <c r="L60" s="12"/>
      <c r="M60" s="12"/>
      <c r="N60" s="12"/>
      <c r="O60" s="12"/>
      <c r="P60" s="12"/>
      <c r="Q60" s="12"/>
      <c r="R60" s="12"/>
      <c r="S60" s="12"/>
      <c r="T60" s="12"/>
      <c r="U60" s="12"/>
      <c r="V60" s="12"/>
      <c r="W60" s="12"/>
      <c r="X60" s="12"/>
      <c r="Y60" s="12"/>
    </row>
    <row r="61" spans="1:25" ht="13.8" thickBot="1" x14ac:dyDescent="0.3">
      <c r="A61" s="361" t="s">
        <v>281</v>
      </c>
      <c r="B61" s="359">
        <f>ROW(A61)</f>
        <v>61</v>
      </c>
      <c r="C61" s="363" t="s">
        <v>116</v>
      </c>
      <c r="D61" s="353">
        <f>SUM(B64:Y64)</f>
        <v>25.874000000000006</v>
      </c>
      <c r="E61" s="363" t="s">
        <v>115</v>
      </c>
      <c r="F61" s="399">
        <f>D61/g/J61</f>
        <v>2.6375127420998985</v>
      </c>
      <c r="G61" s="363" t="s">
        <v>57</v>
      </c>
      <c r="H61" s="64">
        <v>1.1000000000000001</v>
      </c>
      <c r="I61" s="363" t="s">
        <v>272</v>
      </c>
      <c r="J61" s="355">
        <f>H61-L61</f>
        <v>1</v>
      </c>
      <c r="K61" s="363" t="s">
        <v>273</v>
      </c>
      <c r="L61" s="64">
        <v>0.1</v>
      </c>
      <c r="M61" s="363" t="s">
        <v>58</v>
      </c>
      <c r="N61" s="65">
        <f>0.5*R61</f>
        <v>150</v>
      </c>
      <c r="O61" s="363" t="s">
        <v>60</v>
      </c>
      <c r="P61" s="65">
        <v>150</v>
      </c>
      <c r="Q61" s="363" t="s">
        <v>61</v>
      </c>
      <c r="R61" s="65">
        <v>300</v>
      </c>
      <c r="S61" s="363" t="s">
        <v>62</v>
      </c>
      <c r="T61" s="65">
        <v>98</v>
      </c>
      <c r="U61" s="363" t="s">
        <v>55</v>
      </c>
      <c r="V61" s="66" t="s">
        <v>277</v>
      </c>
      <c r="W61" s="12"/>
      <c r="X61" s="12"/>
      <c r="Y61" s="12"/>
    </row>
    <row r="62" spans="1:25" x14ac:dyDescent="0.25">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5">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8" thickBot="1" x14ac:dyDescent="0.3">
      <c r="A64" s="379" t="s">
        <v>117</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8" thickBot="1" x14ac:dyDescent="0.3">
      <c r="A66" s="6" t="s">
        <v>182</v>
      </c>
    </row>
    <row r="67" spans="1:26" ht="13.8" thickBot="1" x14ac:dyDescent="0.3">
      <c r="A67" s="361" t="s">
        <v>112</v>
      </c>
      <c r="B67" s="359">
        <f>ROW(A67)</f>
        <v>67</v>
      </c>
      <c r="C67" s="363" t="s">
        <v>116</v>
      </c>
      <c r="D67" s="353">
        <f>SUM(B70:Y70)</f>
        <v>2.65</v>
      </c>
      <c r="E67" s="363" t="s">
        <v>115</v>
      </c>
      <c r="F67" s="354">
        <f>D67/g/J67</f>
        <v>54.026503567787969</v>
      </c>
      <c r="G67" s="363" t="s">
        <v>57</v>
      </c>
      <c r="H67" s="64">
        <v>1.4999999999999999E-2</v>
      </c>
      <c r="I67" s="363" t="s">
        <v>272</v>
      </c>
      <c r="J67" s="355">
        <f>H67-L67</f>
        <v>4.9999999999999992E-3</v>
      </c>
      <c r="K67" s="363" t="s">
        <v>273</v>
      </c>
      <c r="L67" s="64">
        <v>0.01</v>
      </c>
      <c r="M67" s="363" t="s">
        <v>58</v>
      </c>
      <c r="N67" s="65">
        <v>30</v>
      </c>
      <c r="O67" s="363" t="s">
        <v>60</v>
      </c>
      <c r="P67" s="65">
        <v>30</v>
      </c>
      <c r="Q67" s="363" t="s">
        <v>61</v>
      </c>
      <c r="R67" s="65">
        <v>70</v>
      </c>
      <c r="S67" s="363" t="s">
        <v>62</v>
      </c>
      <c r="T67" s="65">
        <v>15</v>
      </c>
      <c r="U67" s="363" t="s">
        <v>55</v>
      </c>
      <c r="V67" s="66" t="s">
        <v>118</v>
      </c>
      <c r="W67" s="463" t="s">
        <v>396</v>
      </c>
      <c r="X67" s="465">
        <v>0.32</v>
      </c>
      <c r="Y67" s="463" t="s">
        <v>395</v>
      </c>
      <c r="Z67" s="358">
        <v>3</v>
      </c>
    </row>
    <row r="68" spans="1:26" x14ac:dyDescent="0.25">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5">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8" thickBot="1" x14ac:dyDescent="0.3">
      <c r="A70" s="379" t="s">
        <v>117</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8" thickBot="1" x14ac:dyDescent="0.3">
      <c r="A71" s="12"/>
      <c r="L71" s="12"/>
      <c r="M71" s="12"/>
      <c r="N71" s="12"/>
      <c r="O71" s="12"/>
      <c r="P71" s="12"/>
      <c r="Q71" s="12"/>
      <c r="R71" s="12"/>
      <c r="S71" s="12"/>
      <c r="T71" s="12"/>
      <c r="U71" s="12"/>
      <c r="V71" s="12"/>
      <c r="W71" s="12"/>
      <c r="X71" s="12"/>
      <c r="Y71" s="12"/>
    </row>
    <row r="72" spans="1:26" ht="13.8" thickBot="1" x14ac:dyDescent="0.3">
      <c r="A72" s="361" t="s">
        <v>113</v>
      </c>
      <c r="B72" s="359">
        <f>ROW(A72)</f>
        <v>72</v>
      </c>
      <c r="C72" s="363" t="s">
        <v>116</v>
      </c>
      <c r="D72" s="353">
        <f>SUM(B75:Y75)</f>
        <v>5.25</v>
      </c>
      <c r="E72" s="363" t="s">
        <v>115</v>
      </c>
      <c r="F72" s="354">
        <f>D72/g/J72</f>
        <v>89.1946992864424</v>
      </c>
      <c r="G72" s="363" t="s">
        <v>57</v>
      </c>
      <c r="H72" s="64">
        <v>0.02</v>
      </c>
      <c r="I72" s="363" t="s">
        <v>272</v>
      </c>
      <c r="J72" s="355">
        <f>H72-L72</f>
        <v>6.0000000000000001E-3</v>
      </c>
      <c r="K72" s="363" t="s">
        <v>273</v>
      </c>
      <c r="L72" s="64">
        <v>1.4E-2</v>
      </c>
      <c r="M72" s="363" t="s">
        <v>58</v>
      </c>
      <c r="N72" s="65">
        <v>30</v>
      </c>
      <c r="O72" s="363" t="s">
        <v>60</v>
      </c>
      <c r="P72" s="65">
        <v>30</v>
      </c>
      <c r="Q72" s="363" t="s">
        <v>61</v>
      </c>
      <c r="R72" s="65">
        <v>70</v>
      </c>
      <c r="S72" s="363" t="s">
        <v>62</v>
      </c>
      <c r="T72" s="65">
        <v>15</v>
      </c>
      <c r="U72" s="363" t="s">
        <v>55</v>
      </c>
      <c r="V72" s="66" t="s">
        <v>118</v>
      </c>
      <c r="W72" s="463" t="s">
        <v>396</v>
      </c>
      <c r="X72" s="465">
        <v>1.2</v>
      </c>
      <c r="Y72" s="463" t="s">
        <v>395</v>
      </c>
      <c r="Z72" s="358">
        <v>4</v>
      </c>
    </row>
    <row r="73" spans="1:26" x14ac:dyDescent="0.25">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5">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8" thickBot="1" x14ac:dyDescent="0.3">
      <c r="A75" s="379" t="s">
        <v>117</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8" thickBot="1" x14ac:dyDescent="0.3">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8" thickBot="1" x14ac:dyDescent="0.3">
      <c r="A77" s="361" t="s">
        <v>114</v>
      </c>
      <c r="B77" s="359">
        <f>ROW(A77)</f>
        <v>77</v>
      </c>
      <c r="C77" s="363" t="s">
        <v>116</v>
      </c>
      <c r="D77" s="353">
        <f>SUM(B80:Y80)</f>
        <v>10.26</v>
      </c>
      <c r="E77" s="363" t="s">
        <v>115</v>
      </c>
      <c r="F77" s="354">
        <f>D77/g/J77</f>
        <v>80.451658433309802</v>
      </c>
      <c r="G77" s="363" t="s">
        <v>57</v>
      </c>
      <c r="H77" s="64">
        <v>2.4E-2</v>
      </c>
      <c r="I77" s="363" t="s">
        <v>272</v>
      </c>
      <c r="J77" s="355">
        <f>H77-L77</f>
        <v>1.3000000000000001E-2</v>
      </c>
      <c r="K77" s="363" t="s">
        <v>273</v>
      </c>
      <c r="L77" s="64">
        <v>1.0999999999999999E-2</v>
      </c>
      <c r="M77" s="363" t="s">
        <v>58</v>
      </c>
      <c r="N77" s="65">
        <v>30</v>
      </c>
      <c r="O77" s="363" t="s">
        <v>60</v>
      </c>
      <c r="P77" s="65">
        <v>30</v>
      </c>
      <c r="Q77" s="363" t="s">
        <v>61</v>
      </c>
      <c r="R77" s="65">
        <v>70</v>
      </c>
      <c r="S77" s="363" t="s">
        <v>62</v>
      </c>
      <c r="T77" s="65">
        <v>15</v>
      </c>
      <c r="U77" s="363" t="s">
        <v>55</v>
      </c>
      <c r="V77" s="66" t="s">
        <v>118</v>
      </c>
      <c r="W77" s="463" t="s">
        <v>396</v>
      </c>
      <c r="X77" s="465">
        <v>1.7</v>
      </c>
      <c r="Y77" s="463" t="s">
        <v>395</v>
      </c>
      <c r="Z77" s="358">
        <v>3</v>
      </c>
    </row>
    <row r="78" spans="1:26" x14ac:dyDescent="0.25">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5">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8" thickBot="1" x14ac:dyDescent="0.3">
      <c r="A80" s="379" t="s">
        <v>117</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8" thickBot="1" x14ac:dyDescent="0.3">
      <c r="A81" s="12"/>
      <c r="L81" s="12"/>
      <c r="M81" s="12"/>
      <c r="N81" s="12"/>
      <c r="O81" s="12"/>
      <c r="P81" s="12"/>
      <c r="Q81" s="12"/>
      <c r="R81" s="12"/>
      <c r="S81" s="12"/>
      <c r="T81" s="12"/>
      <c r="U81" s="12"/>
      <c r="V81" s="12"/>
      <c r="W81" s="12"/>
      <c r="X81" s="12"/>
      <c r="Y81" s="12"/>
    </row>
    <row r="82" spans="1:26" ht="13.8" thickBot="1" x14ac:dyDescent="0.3">
      <c r="A82" s="361" t="s">
        <v>331</v>
      </c>
      <c r="B82" s="359">
        <f>ROW(A82)</f>
        <v>82</v>
      </c>
      <c r="C82" s="363" t="s">
        <v>116</v>
      </c>
      <c r="D82" s="353">
        <f>SUM(B85:Y85)</f>
        <v>20.52</v>
      </c>
      <c r="E82" s="363" t="s">
        <v>115</v>
      </c>
      <c r="F82" s="354">
        <f>D82/g/J82</f>
        <v>80.451658433309802</v>
      </c>
      <c r="G82" s="363" t="s">
        <v>57</v>
      </c>
      <c r="H82" s="64">
        <f>H77*2</f>
        <v>4.8000000000000001E-2</v>
      </c>
      <c r="I82" s="363" t="s">
        <v>272</v>
      </c>
      <c r="J82" s="355">
        <f>H82-L82</f>
        <v>2.6000000000000002E-2</v>
      </c>
      <c r="K82" s="363" t="s">
        <v>273</v>
      </c>
      <c r="L82" s="64">
        <f>L77*2</f>
        <v>2.1999999999999999E-2</v>
      </c>
      <c r="M82" s="363" t="s">
        <v>58</v>
      </c>
      <c r="N82" s="65">
        <v>30</v>
      </c>
      <c r="O82" s="363" t="s">
        <v>60</v>
      </c>
      <c r="P82" s="65">
        <v>30</v>
      </c>
      <c r="Q82" s="363" t="s">
        <v>61</v>
      </c>
      <c r="R82" s="65">
        <v>70</v>
      </c>
      <c r="S82" s="363" t="s">
        <v>62</v>
      </c>
      <c r="T82" s="65">
        <v>30</v>
      </c>
      <c r="U82" s="363" t="s">
        <v>55</v>
      </c>
      <c r="V82" s="66" t="s">
        <v>118</v>
      </c>
      <c r="W82" s="463" t="s">
        <v>396</v>
      </c>
      <c r="X82" s="465">
        <v>1.7</v>
      </c>
      <c r="Y82" s="463" t="s">
        <v>395</v>
      </c>
      <c r="Z82" s="358">
        <v>3</v>
      </c>
    </row>
    <row r="83" spans="1:26" x14ac:dyDescent="0.25">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5">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8" thickBot="1" x14ac:dyDescent="0.3">
      <c r="A85" s="379" t="s">
        <v>117</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8" thickBot="1" x14ac:dyDescent="0.3">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8" thickBot="1" x14ac:dyDescent="0.3">
      <c r="A87" s="361" t="s">
        <v>332</v>
      </c>
      <c r="B87" s="359">
        <f>ROW(A87)</f>
        <v>87</v>
      </c>
      <c r="C87" s="363" t="s">
        <v>116</v>
      </c>
      <c r="D87" s="353">
        <f>SUM(B90:Y90)</f>
        <v>30.779999999999998</v>
      </c>
      <c r="E87" s="363" t="s">
        <v>115</v>
      </c>
      <c r="F87" s="354">
        <f>D87/g/J87</f>
        <v>80.451658433309774</v>
      </c>
      <c r="G87" s="363" t="s">
        <v>57</v>
      </c>
      <c r="H87" s="64">
        <f>H77*3</f>
        <v>7.2000000000000008E-2</v>
      </c>
      <c r="I87" s="363" t="s">
        <v>272</v>
      </c>
      <c r="J87" s="355">
        <f>H87-L87</f>
        <v>3.9000000000000007E-2</v>
      </c>
      <c r="K87" s="363" t="s">
        <v>273</v>
      </c>
      <c r="L87" s="64">
        <f>L77*3</f>
        <v>3.3000000000000002E-2</v>
      </c>
      <c r="M87" s="363" t="s">
        <v>58</v>
      </c>
      <c r="N87" s="65">
        <v>30</v>
      </c>
      <c r="O87" s="363" t="s">
        <v>60</v>
      </c>
      <c r="P87" s="65">
        <v>30</v>
      </c>
      <c r="Q87" s="363" t="s">
        <v>61</v>
      </c>
      <c r="R87" s="65">
        <v>70</v>
      </c>
      <c r="S87" s="363" t="s">
        <v>62</v>
      </c>
      <c r="T87" s="65">
        <v>40</v>
      </c>
      <c r="U87" s="363" t="s">
        <v>55</v>
      </c>
      <c r="V87" s="66" t="s">
        <v>118</v>
      </c>
      <c r="W87" s="463" t="s">
        <v>396</v>
      </c>
      <c r="X87" s="465">
        <v>1.7</v>
      </c>
      <c r="Y87" s="463" t="s">
        <v>395</v>
      </c>
      <c r="Z87" s="358">
        <v>3</v>
      </c>
    </row>
    <row r="88" spans="1:26" x14ac:dyDescent="0.25">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5">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8" thickBot="1" x14ac:dyDescent="0.3">
      <c r="A90" s="379" t="s">
        <v>117</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8" thickBot="1" x14ac:dyDescent="0.3">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8" thickBot="1" x14ac:dyDescent="0.3">
      <c r="A92" s="361" t="s">
        <v>543</v>
      </c>
      <c r="B92" s="359">
        <f>ROW(A92)</f>
        <v>92</v>
      </c>
      <c r="C92" s="363" t="s">
        <v>116</v>
      </c>
      <c r="D92" s="353">
        <f>SUM(B95:Y95)</f>
        <v>19.961989000000003</v>
      </c>
      <c r="E92" s="363" t="s">
        <v>115</v>
      </c>
      <c r="F92" s="354">
        <f>D92/g/J92</f>
        <v>118.30588744280873</v>
      </c>
      <c r="G92" s="363" t="s">
        <v>57</v>
      </c>
      <c r="H92" s="64">
        <v>2.8199999999999999E-2</v>
      </c>
      <c r="I92" s="363" t="s">
        <v>272</v>
      </c>
      <c r="J92" s="355">
        <f>H92-L92</f>
        <v>1.72E-2</v>
      </c>
      <c r="K92" s="363" t="s">
        <v>273</v>
      </c>
      <c r="L92" s="64">
        <v>1.0999999999999999E-2</v>
      </c>
      <c r="M92" s="363" t="s">
        <v>58</v>
      </c>
      <c r="N92" s="65">
        <v>30</v>
      </c>
      <c r="O92" s="363" t="s">
        <v>60</v>
      </c>
      <c r="P92" s="65">
        <v>30</v>
      </c>
      <c r="Q92" s="363" t="s">
        <v>61</v>
      </c>
      <c r="R92" s="65">
        <v>70</v>
      </c>
      <c r="S92" s="363" t="s">
        <v>62</v>
      </c>
      <c r="T92" s="65">
        <v>18</v>
      </c>
      <c r="U92" s="363" t="s">
        <v>55</v>
      </c>
      <c r="V92" s="66" t="s">
        <v>403</v>
      </c>
      <c r="W92" s="463" t="s">
        <v>396</v>
      </c>
      <c r="X92" s="465">
        <v>2.1</v>
      </c>
      <c r="Y92" s="463" t="s">
        <v>395</v>
      </c>
      <c r="Z92" s="358">
        <v>7</v>
      </c>
    </row>
    <row r="93" spans="1:26" x14ac:dyDescent="0.25">
      <c r="A93" s="362" t="s">
        <v>33</v>
      </c>
      <c r="B93" s="370">
        <v>0</v>
      </c>
      <c r="C93" s="472">
        <v>0.04</v>
      </c>
      <c r="D93" s="472">
        <v>0.11600000000000001</v>
      </c>
      <c r="E93" s="472">
        <v>0.21299999999999999</v>
      </c>
      <c r="F93" s="472">
        <v>0.28599999999999998</v>
      </c>
      <c r="G93" s="472">
        <v>0.32900000000000001</v>
      </c>
      <c r="H93" s="472">
        <v>0.36899999999999999</v>
      </c>
      <c r="I93" s="472">
        <v>0.42</v>
      </c>
      <c r="J93" s="472">
        <v>0.495</v>
      </c>
      <c r="K93" s="472">
        <v>0.59699999999999998</v>
      </c>
      <c r="L93" s="472">
        <v>1.7110000000000001</v>
      </c>
      <c r="M93" s="472">
        <v>1.8260000000000001</v>
      </c>
      <c r="N93" s="472">
        <v>1.917</v>
      </c>
      <c r="O93" s="472">
        <v>1.9750000000000001</v>
      </c>
      <c r="P93" s="472">
        <v>2.206</v>
      </c>
      <c r="Q93" s="472">
        <v>2.242</v>
      </c>
      <c r="R93" s="371">
        <v>2.5</v>
      </c>
      <c r="S93" s="371">
        <v>2.5</v>
      </c>
      <c r="T93" s="371">
        <v>2.5</v>
      </c>
      <c r="U93" s="371">
        <v>2.5</v>
      </c>
      <c r="V93" s="371">
        <v>2.5</v>
      </c>
      <c r="W93" s="371">
        <v>2.5</v>
      </c>
      <c r="X93" s="371">
        <v>2.5</v>
      </c>
      <c r="Y93" s="381">
        <v>1000</v>
      </c>
    </row>
    <row r="94" spans="1:26" x14ac:dyDescent="0.25">
      <c r="A94" s="378" t="s">
        <v>34</v>
      </c>
      <c r="B94" s="372">
        <v>0</v>
      </c>
      <c r="C94" s="472">
        <v>2.1110000000000002</v>
      </c>
      <c r="D94" s="472">
        <v>9.6850000000000005</v>
      </c>
      <c r="E94" s="472">
        <v>25</v>
      </c>
      <c r="F94" s="472">
        <v>15.738</v>
      </c>
      <c r="G94" s="472">
        <v>12.472</v>
      </c>
      <c r="H94" s="472">
        <v>10.67</v>
      </c>
      <c r="I94" s="472">
        <v>9.7129999999999992</v>
      </c>
      <c r="J94" s="472">
        <v>9.1780000000000008</v>
      </c>
      <c r="K94" s="472">
        <v>8.8960000000000008</v>
      </c>
      <c r="L94" s="472">
        <v>8.9250000000000007</v>
      </c>
      <c r="M94" s="472">
        <v>8.6989999999999998</v>
      </c>
      <c r="N94" s="472">
        <v>8.0519999999999996</v>
      </c>
      <c r="O94" s="472">
        <v>6.9539999999999997</v>
      </c>
      <c r="P94" s="472">
        <v>1.07</v>
      </c>
      <c r="Q94" s="472">
        <v>0</v>
      </c>
      <c r="R94" s="373">
        <v>0</v>
      </c>
      <c r="S94" s="373">
        <v>0</v>
      </c>
      <c r="T94" s="373">
        <v>0</v>
      </c>
      <c r="U94" s="373">
        <v>0</v>
      </c>
      <c r="V94" s="373">
        <v>0</v>
      </c>
      <c r="W94" s="373">
        <v>0</v>
      </c>
      <c r="X94" s="373">
        <v>0</v>
      </c>
      <c r="Y94" s="382">
        <v>0</v>
      </c>
    </row>
    <row r="95" spans="1:26" ht="13.8" thickBot="1" x14ac:dyDescent="0.3">
      <c r="A95" s="379" t="s">
        <v>117</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8" thickBot="1" x14ac:dyDescent="0.3">
      <c r="A96" s="12"/>
      <c r="L96" s="12"/>
      <c r="M96" s="12"/>
      <c r="N96" s="12"/>
      <c r="O96" s="12"/>
      <c r="P96" s="12"/>
      <c r="Q96" s="12"/>
      <c r="R96" s="12"/>
      <c r="S96" s="12"/>
      <c r="T96" s="12"/>
      <c r="U96" s="12"/>
      <c r="V96" s="12"/>
      <c r="W96" s="12"/>
      <c r="X96" s="12"/>
      <c r="Y96" s="12"/>
    </row>
    <row r="97" spans="1:26" ht="13.8" thickBot="1" x14ac:dyDescent="0.3">
      <c r="A97" s="361" t="s">
        <v>541</v>
      </c>
      <c r="B97" s="359">
        <f>ROW(A97)</f>
        <v>97</v>
      </c>
      <c r="C97" s="363" t="s">
        <v>116</v>
      </c>
      <c r="D97" s="353">
        <f>SUM(B100:Y100)</f>
        <v>39.923978000000005</v>
      </c>
      <c r="E97" s="363" t="s">
        <v>115</v>
      </c>
      <c r="F97" s="354">
        <f>D97/g/J97</f>
        <v>118.30588744280873</v>
      </c>
      <c r="G97" s="363" t="s">
        <v>57</v>
      </c>
      <c r="H97" s="64">
        <f>H92*2</f>
        <v>5.6399999999999999E-2</v>
      </c>
      <c r="I97" s="363" t="s">
        <v>272</v>
      </c>
      <c r="J97" s="355">
        <f>H97-L97</f>
        <v>3.44E-2</v>
      </c>
      <c r="K97" s="363" t="s">
        <v>273</v>
      </c>
      <c r="L97" s="64">
        <f>L92*2</f>
        <v>2.1999999999999999E-2</v>
      </c>
      <c r="M97" s="363" t="s">
        <v>58</v>
      </c>
      <c r="N97" s="65">
        <v>30</v>
      </c>
      <c r="O97" s="363" t="s">
        <v>60</v>
      </c>
      <c r="P97" s="65">
        <v>30</v>
      </c>
      <c r="Q97" s="363" t="s">
        <v>61</v>
      </c>
      <c r="R97" s="65">
        <v>70</v>
      </c>
      <c r="S97" s="363" t="s">
        <v>62</v>
      </c>
      <c r="T97" s="65">
        <v>30</v>
      </c>
      <c r="U97" s="363" t="s">
        <v>55</v>
      </c>
      <c r="V97" s="66" t="s">
        <v>403</v>
      </c>
      <c r="W97" s="463" t="s">
        <v>396</v>
      </c>
      <c r="X97" s="465">
        <v>2.1</v>
      </c>
      <c r="Y97" s="463" t="s">
        <v>395</v>
      </c>
      <c r="Z97" s="358">
        <v>7</v>
      </c>
    </row>
    <row r="98" spans="1:26" x14ac:dyDescent="0.25">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5">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8" thickBot="1" x14ac:dyDescent="0.3">
      <c r="A100" s="379" t="s">
        <v>117</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8" thickBot="1" x14ac:dyDescent="0.3">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8" thickBot="1" x14ac:dyDescent="0.3">
      <c r="A102" s="361" t="s">
        <v>542</v>
      </c>
      <c r="B102" s="359">
        <f>ROW(A102)</f>
        <v>102</v>
      </c>
      <c r="C102" s="363" t="s">
        <v>116</v>
      </c>
      <c r="D102" s="353">
        <f>SUM(B105:Y105)</f>
        <v>59.885967000000008</v>
      </c>
      <c r="E102" s="363" t="s">
        <v>115</v>
      </c>
      <c r="F102" s="354">
        <f>D102/g/J102</f>
        <v>118.30588744280874</v>
      </c>
      <c r="G102" s="363" t="s">
        <v>57</v>
      </c>
      <c r="H102" s="64">
        <f>H92*3</f>
        <v>8.4599999999999995E-2</v>
      </c>
      <c r="I102" s="363" t="s">
        <v>272</v>
      </c>
      <c r="J102" s="355">
        <f>H102-L102</f>
        <v>5.1599999999999993E-2</v>
      </c>
      <c r="K102" s="363" t="s">
        <v>273</v>
      </c>
      <c r="L102" s="64">
        <f>L92*3</f>
        <v>3.3000000000000002E-2</v>
      </c>
      <c r="M102" s="363" t="s">
        <v>58</v>
      </c>
      <c r="N102" s="65">
        <v>30</v>
      </c>
      <c r="O102" s="363" t="s">
        <v>60</v>
      </c>
      <c r="P102" s="65">
        <v>30</v>
      </c>
      <c r="Q102" s="363" t="s">
        <v>61</v>
      </c>
      <c r="R102" s="65">
        <v>70</v>
      </c>
      <c r="S102" s="363" t="s">
        <v>62</v>
      </c>
      <c r="T102" s="65">
        <v>40</v>
      </c>
      <c r="U102" s="363" t="s">
        <v>55</v>
      </c>
      <c r="V102" s="66" t="s">
        <v>403</v>
      </c>
      <c r="W102" s="463" t="s">
        <v>396</v>
      </c>
      <c r="X102" s="465">
        <v>2.1</v>
      </c>
      <c r="Y102" s="463" t="s">
        <v>395</v>
      </c>
      <c r="Z102" s="358">
        <v>7</v>
      </c>
    </row>
    <row r="103" spans="1:26" x14ac:dyDescent="0.25">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5">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8" thickBot="1" x14ac:dyDescent="0.3">
      <c r="A105" s="379" t="s">
        <v>117</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8" thickBot="1" x14ac:dyDescent="0.3">
      <c r="A107" s="6" t="s">
        <v>318</v>
      </c>
    </row>
    <row r="108" spans="1:26" ht="13.8" thickBot="1" x14ac:dyDescent="0.3">
      <c r="A108" s="361" t="s">
        <v>321</v>
      </c>
      <c r="B108" s="359">
        <f>ROW(A108)</f>
        <v>108</v>
      </c>
      <c r="C108" s="363" t="s">
        <v>116</v>
      </c>
      <c r="D108" s="353">
        <f>SUM(B111:Y111)</f>
        <v>24.269519000000003</v>
      </c>
      <c r="E108" s="363" t="s">
        <v>115</v>
      </c>
      <c r="F108" s="354">
        <f>D108/g/J108</f>
        <v>154.62231778797147</v>
      </c>
      <c r="G108" s="363" t="s">
        <v>57</v>
      </c>
      <c r="H108" s="64">
        <v>5.1999999999999998E-2</v>
      </c>
      <c r="I108" s="363" t="s">
        <v>272</v>
      </c>
      <c r="J108" s="355">
        <f>H108-L108</f>
        <v>1.6E-2</v>
      </c>
      <c r="K108" s="363" t="s">
        <v>273</v>
      </c>
      <c r="L108" s="64">
        <v>3.5999999999999997E-2</v>
      </c>
      <c r="M108" s="363" t="s">
        <v>58</v>
      </c>
      <c r="N108" s="396">
        <v>35</v>
      </c>
      <c r="O108" s="363" t="s">
        <v>60</v>
      </c>
      <c r="P108" s="396">
        <v>35</v>
      </c>
      <c r="Q108" s="363" t="s">
        <v>61</v>
      </c>
      <c r="R108" s="65">
        <v>69</v>
      </c>
      <c r="S108" s="363" t="s">
        <v>62</v>
      </c>
      <c r="T108" s="65">
        <v>24</v>
      </c>
      <c r="U108" s="363" t="s">
        <v>55</v>
      </c>
      <c r="V108" s="66" t="s">
        <v>401</v>
      </c>
      <c r="W108" s="463" t="s">
        <v>396</v>
      </c>
      <c r="X108" s="465">
        <v>1</v>
      </c>
      <c r="Y108" s="463" t="s">
        <v>395</v>
      </c>
      <c r="Z108" s="358">
        <v>13</v>
      </c>
    </row>
    <row r="109" spans="1:26" x14ac:dyDescent="0.25">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5">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8" thickBot="1" x14ac:dyDescent="0.3">
      <c r="A111" s="379" t="s">
        <v>117</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8" thickBot="1" x14ac:dyDescent="0.3"/>
    <row r="113" spans="1:26" ht="13.8" thickBot="1" x14ac:dyDescent="0.3">
      <c r="A113" s="361" t="s">
        <v>419</v>
      </c>
      <c r="B113" s="359">
        <f>ROW(A113)</f>
        <v>113</v>
      </c>
      <c r="C113" s="363" t="s">
        <v>116</v>
      </c>
      <c r="D113" s="353">
        <f>SUM(B116:Y116)</f>
        <v>24.488898000000002</v>
      </c>
      <c r="E113" s="363" t="s">
        <v>115</v>
      </c>
      <c r="F113" s="354">
        <f>D113/g/J113</f>
        <v>121.771701350041</v>
      </c>
      <c r="G113" s="363" t="s">
        <v>57</v>
      </c>
      <c r="H113" s="64">
        <v>5.6500000000000002E-2</v>
      </c>
      <c r="I113" s="363" t="s">
        <v>272</v>
      </c>
      <c r="J113" s="355">
        <f>H113-L113</f>
        <v>2.0500000000000004E-2</v>
      </c>
      <c r="K113" s="363" t="s">
        <v>273</v>
      </c>
      <c r="L113" s="64">
        <v>3.5999999999999997E-2</v>
      </c>
      <c r="M113" s="363" t="s">
        <v>58</v>
      </c>
      <c r="N113" s="396">
        <v>35</v>
      </c>
      <c r="O113" s="363" t="s">
        <v>60</v>
      </c>
      <c r="P113" s="396">
        <v>35</v>
      </c>
      <c r="Q113" s="363" t="s">
        <v>61</v>
      </c>
      <c r="R113" s="65">
        <v>69</v>
      </c>
      <c r="S113" s="363" t="s">
        <v>62</v>
      </c>
      <c r="T113" s="65">
        <v>24</v>
      </c>
      <c r="U113" s="363" t="s">
        <v>55</v>
      </c>
      <c r="V113" s="66" t="s">
        <v>402</v>
      </c>
      <c r="W113" s="463" t="s">
        <v>396</v>
      </c>
      <c r="X113" s="465">
        <v>0.33</v>
      </c>
      <c r="Y113" s="463" t="s">
        <v>395</v>
      </c>
      <c r="Z113" s="358">
        <v>17</v>
      </c>
    </row>
    <row r="114" spans="1:26" x14ac:dyDescent="0.25">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5">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8" thickBot="1" x14ac:dyDescent="0.3">
      <c r="A116" s="379" t="s">
        <v>117</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8" thickBot="1" x14ac:dyDescent="0.3"/>
    <row r="118" spans="1:26" ht="13.8" thickBot="1" x14ac:dyDescent="0.3">
      <c r="A118" s="361" t="s">
        <v>322</v>
      </c>
      <c r="B118" s="359">
        <f>ROW(A118)</f>
        <v>118</v>
      </c>
      <c r="C118" s="363" t="s">
        <v>116</v>
      </c>
      <c r="D118" s="353">
        <f>SUM(B121:Y121)</f>
        <v>26.083982500000001</v>
      </c>
      <c r="E118" s="363" t="s">
        <v>115</v>
      </c>
      <c r="F118" s="354">
        <f>D118/g/J118</f>
        <v>166.18235537716615</v>
      </c>
      <c r="G118" s="363" t="s">
        <v>57</v>
      </c>
      <c r="H118" s="64">
        <v>5.1999999999999998E-2</v>
      </c>
      <c r="I118" s="363" t="s">
        <v>272</v>
      </c>
      <c r="J118" s="355">
        <f>H118-L118</f>
        <v>1.6E-2</v>
      </c>
      <c r="K118" s="363" t="s">
        <v>273</v>
      </c>
      <c r="L118" s="64">
        <v>3.5999999999999997E-2</v>
      </c>
      <c r="M118" s="363" t="s">
        <v>58</v>
      </c>
      <c r="N118" s="396">
        <v>35</v>
      </c>
      <c r="O118" s="363" t="s">
        <v>60</v>
      </c>
      <c r="P118" s="396">
        <v>35</v>
      </c>
      <c r="Q118" s="363" t="s">
        <v>61</v>
      </c>
      <c r="R118" s="65">
        <v>69</v>
      </c>
      <c r="S118" s="363" t="s">
        <v>62</v>
      </c>
      <c r="T118" s="65">
        <v>24</v>
      </c>
      <c r="U118" s="363" t="s">
        <v>55</v>
      </c>
      <c r="V118" s="66" t="s">
        <v>401</v>
      </c>
      <c r="W118" s="463" t="s">
        <v>396</v>
      </c>
      <c r="X118" s="465">
        <v>0.85</v>
      </c>
      <c r="Y118" s="463" t="s">
        <v>395</v>
      </c>
      <c r="Z118" s="358">
        <v>15</v>
      </c>
    </row>
    <row r="119" spans="1:26" x14ac:dyDescent="0.25">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5">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8" thickBot="1" x14ac:dyDescent="0.3">
      <c r="A121" s="379" t="s">
        <v>117</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8" thickBot="1" x14ac:dyDescent="0.3">
      <c r="A122" s="6" t="s">
        <v>391</v>
      </c>
    </row>
    <row r="123" spans="1:26" ht="13.8" thickBot="1" x14ac:dyDescent="0.3">
      <c r="A123" s="361" t="s">
        <v>392</v>
      </c>
      <c r="B123" s="359">
        <f>ROW(A123)</f>
        <v>123</v>
      </c>
      <c r="C123" s="363" t="s">
        <v>116</v>
      </c>
      <c r="D123" s="353">
        <f>SUM(B126:Y126)</f>
        <v>49.788765499999997</v>
      </c>
      <c r="E123" s="363" t="s">
        <v>115</v>
      </c>
      <c r="F123" s="354">
        <v>231</v>
      </c>
      <c r="G123" s="363" t="s">
        <v>57</v>
      </c>
      <c r="H123" s="64">
        <v>7.2999999999999995E-2</v>
      </c>
      <c r="I123" s="363" t="s">
        <v>272</v>
      </c>
      <c r="J123" s="355">
        <f>H123-L123</f>
        <v>2.7999999999999997E-2</v>
      </c>
      <c r="K123" s="363" t="s">
        <v>273</v>
      </c>
      <c r="L123" s="64">
        <v>4.4999999999999998E-2</v>
      </c>
      <c r="M123" s="363" t="s">
        <v>58</v>
      </c>
      <c r="N123" s="396">
        <v>50</v>
      </c>
      <c r="O123" s="363" t="s">
        <v>60</v>
      </c>
      <c r="P123" s="396">
        <v>50</v>
      </c>
      <c r="Q123" s="363" t="s">
        <v>61</v>
      </c>
      <c r="R123" s="65">
        <v>101</v>
      </c>
      <c r="S123" s="363" t="s">
        <v>62</v>
      </c>
      <c r="T123" s="65">
        <v>24</v>
      </c>
      <c r="U123" s="363" t="s">
        <v>55</v>
      </c>
      <c r="V123" s="66" t="s">
        <v>120</v>
      </c>
      <c r="W123" s="463" t="s">
        <v>396</v>
      </c>
      <c r="X123" s="465">
        <v>1</v>
      </c>
      <c r="Y123" s="463" t="s">
        <v>395</v>
      </c>
      <c r="Z123" s="358">
        <v>13</v>
      </c>
    </row>
    <row r="124" spans="1:26" x14ac:dyDescent="0.25">
      <c r="A124" s="362" t="s">
        <v>33</v>
      </c>
      <c r="B124" s="471">
        <v>0</v>
      </c>
      <c r="C124" s="471">
        <v>1E-3</v>
      </c>
      <c r="D124" s="471">
        <v>2.7E-2</v>
      </c>
      <c r="E124" s="471">
        <v>5.0999999999999997E-2</v>
      </c>
      <c r="F124" s="471">
        <v>0.06</v>
      </c>
      <c r="G124" s="471">
        <v>9.1999999999999998E-2</v>
      </c>
      <c r="H124" s="471">
        <v>0.11899999999999999</v>
      </c>
      <c r="I124" s="471">
        <v>0.17</v>
      </c>
      <c r="J124" s="471">
        <v>0.3</v>
      </c>
      <c r="K124" s="471">
        <v>0.46200000000000002</v>
      </c>
      <c r="L124" s="471">
        <v>0.56899999999999995</v>
      </c>
      <c r="M124" s="471">
        <v>0.67500000000000004</v>
      </c>
      <c r="N124" s="471">
        <v>0.77800000000000002</v>
      </c>
      <c r="O124" s="471">
        <v>0.84599999999999997</v>
      </c>
      <c r="P124" s="471">
        <v>0.91700000000000004</v>
      </c>
      <c r="Q124" s="471">
        <v>1.0089999999999999</v>
      </c>
      <c r="R124" s="471">
        <v>1.032</v>
      </c>
      <c r="S124" s="471">
        <v>1.0449999999999999</v>
      </c>
      <c r="T124" s="371">
        <v>2</v>
      </c>
      <c r="U124" s="371">
        <v>2</v>
      </c>
      <c r="V124" s="371">
        <v>2</v>
      </c>
      <c r="W124" s="371">
        <v>2</v>
      </c>
      <c r="X124" s="371">
        <v>2</v>
      </c>
      <c r="Y124" s="381">
        <v>1000</v>
      </c>
    </row>
    <row r="125" spans="1:26" x14ac:dyDescent="0.25">
      <c r="A125" s="378" t="s">
        <v>34</v>
      </c>
      <c r="B125" s="471">
        <v>0</v>
      </c>
      <c r="C125" s="471">
        <v>5.1449999999999996</v>
      </c>
      <c r="D125" s="471">
        <v>67.975999999999999</v>
      </c>
      <c r="E125" s="471">
        <v>53.807000000000002</v>
      </c>
      <c r="F125" s="471">
        <v>52.88</v>
      </c>
      <c r="G125" s="471">
        <v>55.915999999999997</v>
      </c>
      <c r="H125" s="471">
        <v>57.94</v>
      </c>
      <c r="I125" s="471">
        <v>59.710999999999999</v>
      </c>
      <c r="J125" s="471">
        <v>61.145000000000003</v>
      </c>
      <c r="K125" s="471">
        <v>58.951999999999998</v>
      </c>
      <c r="L125" s="471">
        <v>55.578000000000003</v>
      </c>
      <c r="M125" s="471">
        <v>52.204999999999998</v>
      </c>
      <c r="N125" s="471">
        <v>46.386000000000003</v>
      </c>
      <c r="O125" s="471">
        <v>38.119999999999997</v>
      </c>
      <c r="P125" s="471">
        <v>20.324999999999999</v>
      </c>
      <c r="Q125" s="471">
        <v>3.5419999999999998</v>
      </c>
      <c r="R125" s="471">
        <v>1.6020000000000001</v>
      </c>
      <c r="S125" s="471">
        <v>0</v>
      </c>
      <c r="T125" s="373">
        <f>S125</f>
        <v>0</v>
      </c>
      <c r="U125" s="373">
        <f>T125</f>
        <v>0</v>
      </c>
      <c r="V125" s="373">
        <f>U125</f>
        <v>0</v>
      </c>
      <c r="W125" s="373">
        <f>V125</f>
        <v>0</v>
      </c>
      <c r="X125" s="373">
        <f>W125</f>
        <v>0</v>
      </c>
      <c r="Y125" s="382">
        <v>0</v>
      </c>
    </row>
    <row r="126" spans="1:26" ht="13.8" thickBot="1" x14ac:dyDescent="0.3">
      <c r="A126" s="379" t="s">
        <v>117</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8" thickBot="1" x14ac:dyDescent="0.3"/>
    <row r="128" spans="1:26" ht="13.8" thickBot="1" x14ac:dyDescent="0.3">
      <c r="A128" s="361" t="s">
        <v>393</v>
      </c>
      <c r="B128" s="359">
        <f>ROW(A128)</f>
        <v>128</v>
      </c>
      <c r="C128" s="363" t="s">
        <v>116</v>
      </c>
      <c r="D128" s="353">
        <f>SUM(B131:Y131)</f>
        <v>52.815674000000008</v>
      </c>
      <c r="E128" s="363" t="s">
        <v>115</v>
      </c>
      <c r="F128" s="354">
        <v>239</v>
      </c>
      <c r="G128" s="363" t="s">
        <v>57</v>
      </c>
      <c r="H128" s="64">
        <v>7.2999999999999995E-2</v>
      </c>
      <c r="I128" s="363" t="s">
        <v>272</v>
      </c>
      <c r="J128" s="355">
        <f>H128-L128</f>
        <v>2.8999999999999998E-2</v>
      </c>
      <c r="K128" s="363" t="s">
        <v>273</v>
      </c>
      <c r="L128" s="64">
        <v>4.3999999999999997E-2</v>
      </c>
      <c r="M128" s="363" t="s">
        <v>58</v>
      </c>
      <c r="N128" s="396">
        <v>50</v>
      </c>
      <c r="O128" s="363" t="s">
        <v>60</v>
      </c>
      <c r="P128" s="396">
        <v>50</v>
      </c>
      <c r="Q128" s="363" t="s">
        <v>61</v>
      </c>
      <c r="R128" s="65">
        <v>101</v>
      </c>
      <c r="S128" s="363" t="s">
        <v>62</v>
      </c>
      <c r="T128" s="65">
        <v>24</v>
      </c>
      <c r="U128" s="363" t="s">
        <v>55</v>
      </c>
      <c r="V128" s="66" t="s">
        <v>120</v>
      </c>
      <c r="W128" s="463" t="s">
        <v>396</v>
      </c>
      <c r="X128" s="465">
        <v>0.77</v>
      </c>
      <c r="Y128" s="463" t="s">
        <v>395</v>
      </c>
      <c r="Z128" s="358">
        <v>14</v>
      </c>
    </row>
    <row r="129" spans="1:26" x14ac:dyDescent="0.25">
      <c r="A129" s="362" t="s">
        <v>33</v>
      </c>
      <c r="B129" s="471">
        <v>0</v>
      </c>
      <c r="C129" s="471">
        <v>1E-3</v>
      </c>
      <c r="D129" s="471">
        <v>1.2999999999999999E-2</v>
      </c>
      <c r="E129" s="471">
        <v>2.3E-2</v>
      </c>
      <c r="F129" s="471">
        <v>5.1999999999999998E-2</v>
      </c>
      <c r="G129" s="471">
        <v>0.1</v>
      </c>
      <c r="H129" s="471">
        <v>0.379</v>
      </c>
      <c r="I129" s="471">
        <v>0.64100000000000001</v>
      </c>
      <c r="J129" s="471">
        <v>0.66500000000000004</v>
      </c>
      <c r="K129" s="471">
        <v>0.70599999999999996</v>
      </c>
      <c r="L129" s="471">
        <v>0.74399999999999999</v>
      </c>
      <c r="M129" s="471">
        <v>0.78700000000000003</v>
      </c>
      <c r="N129" s="471">
        <v>0.81599999999999995</v>
      </c>
      <c r="O129" s="371">
        <v>1</v>
      </c>
      <c r="P129" s="371">
        <v>1</v>
      </c>
      <c r="Q129" s="371">
        <v>1</v>
      </c>
      <c r="R129" s="371">
        <v>1</v>
      </c>
      <c r="S129" s="371">
        <v>1</v>
      </c>
      <c r="T129" s="371">
        <v>1</v>
      </c>
      <c r="U129" s="371">
        <v>1</v>
      </c>
      <c r="V129" s="371">
        <v>1</v>
      </c>
      <c r="W129" s="371">
        <v>2</v>
      </c>
      <c r="X129" s="371">
        <v>2</v>
      </c>
      <c r="Y129" s="381">
        <v>1000</v>
      </c>
    </row>
    <row r="130" spans="1:26" x14ac:dyDescent="0.25">
      <c r="A130" s="378" t="s">
        <v>34</v>
      </c>
      <c r="B130" s="471">
        <v>0</v>
      </c>
      <c r="C130" s="471">
        <v>8.3030000000000008</v>
      </c>
      <c r="D130" s="471">
        <v>85.68</v>
      </c>
      <c r="E130" s="471">
        <v>96.149000000000001</v>
      </c>
      <c r="F130" s="471">
        <v>78.820999999999998</v>
      </c>
      <c r="G130" s="471">
        <v>83.634</v>
      </c>
      <c r="H130" s="471">
        <v>77.858000000000004</v>
      </c>
      <c r="I130" s="471">
        <v>62.575000000000003</v>
      </c>
      <c r="J130" s="471">
        <v>55.716000000000001</v>
      </c>
      <c r="K130" s="471">
        <v>23.946999999999999</v>
      </c>
      <c r="L130" s="471">
        <v>9.1460000000000008</v>
      </c>
      <c r="M130" s="471">
        <v>2.7679999999999998</v>
      </c>
      <c r="N130" s="471">
        <v>0</v>
      </c>
      <c r="O130" s="373">
        <v>0</v>
      </c>
      <c r="P130" s="373">
        <v>0</v>
      </c>
      <c r="Q130" s="373">
        <v>0</v>
      </c>
      <c r="R130" s="373">
        <v>0</v>
      </c>
      <c r="S130" s="373">
        <v>0</v>
      </c>
      <c r="T130" s="373">
        <v>0</v>
      </c>
      <c r="U130" s="373">
        <v>0</v>
      </c>
      <c r="V130" s="373">
        <f>U130</f>
        <v>0</v>
      </c>
      <c r="W130" s="373">
        <f>V130</f>
        <v>0</v>
      </c>
      <c r="X130" s="373">
        <f>W130</f>
        <v>0</v>
      </c>
      <c r="Y130" s="382">
        <v>0</v>
      </c>
    </row>
    <row r="131" spans="1:26" ht="13.8" thickBot="1" x14ac:dyDescent="0.3">
      <c r="A131" s="379" t="s">
        <v>117</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8" thickBot="1" x14ac:dyDescent="0.3">
      <c r="A132" s="6" t="s">
        <v>315</v>
      </c>
    </row>
    <row r="133" spans="1:26" ht="13.8" thickBot="1" x14ac:dyDescent="0.3">
      <c r="A133" s="361" t="s">
        <v>383</v>
      </c>
      <c r="B133" s="359">
        <f>ROW(A133)</f>
        <v>133</v>
      </c>
      <c r="C133" s="363" t="s">
        <v>116</v>
      </c>
      <c r="D133" s="353">
        <f>SUM(B136:Y136)</f>
        <v>41.835000000000015</v>
      </c>
      <c r="E133" s="363" t="s">
        <v>115</v>
      </c>
      <c r="F133" s="354">
        <f>D133/g/J133</f>
        <v>121.84359982525126</v>
      </c>
      <c r="G133" s="363" t="s">
        <v>57</v>
      </c>
      <c r="H133" s="64">
        <v>0.104</v>
      </c>
      <c r="I133" s="363" t="s">
        <v>272</v>
      </c>
      <c r="J133" s="355">
        <f>H133-L133</f>
        <v>3.4999999999999989E-2</v>
      </c>
      <c r="K133" s="363" t="s">
        <v>273</v>
      </c>
      <c r="L133" s="64">
        <v>6.9000000000000006E-2</v>
      </c>
      <c r="M133" s="363" t="s">
        <v>58</v>
      </c>
      <c r="N133" s="65">
        <v>49</v>
      </c>
      <c r="O133" s="363" t="s">
        <v>60</v>
      </c>
      <c r="P133" s="65">
        <v>49</v>
      </c>
      <c r="Q133" s="363" t="s">
        <v>61</v>
      </c>
      <c r="R133" s="65">
        <v>98</v>
      </c>
      <c r="S133" s="363" t="s">
        <v>62</v>
      </c>
      <c r="T133" s="65">
        <v>29</v>
      </c>
      <c r="U133" s="363" t="s">
        <v>55</v>
      </c>
      <c r="V133" s="66" t="s">
        <v>401</v>
      </c>
      <c r="W133" s="463" t="s">
        <v>396</v>
      </c>
      <c r="X133" s="465">
        <v>1.07</v>
      </c>
      <c r="Y133" s="463" t="s">
        <v>395</v>
      </c>
      <c r="Z133" s="358">
        <v>11</v>
      </c>
    </row>
    <row r="134" spans="1:26" x14ac:dyDescent="0.25">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5">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8" thickBot="1" x14ac:dyDescent="0.3">
      <c r="A136" s="379" t="s">
        <v>117</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8" thickBot="1" x14ac:dyDescent="0.3">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8" thickBot="1" x14ac:dyDescent="0.3">
      <c r="A138" s="361" t="s">
        <v>384</v>
      </c>
      <c r="B138" s="359">
        <f>ROW(A138)</f>
        <v>138</v>
      </c>
      <c r="C138" s="363" t="s">
        <v>116</v>
      </c>
      <c r="D138" s="353">
        <f>SUM(B141:Y141)</f>
        <v>52.564999999999998</v>
      </c>
      <c r="E138" s="363" t="s">
        <v>115</v>
      </c>
      <c r="F138" s="354">
        <f>D138/g/J138</f>
        <v>167.44712028542301</v>
      </c>
      <c r="G138" s="363" t="s">
        <v>57</v>
      </c>
      <c r="H138" s="64">
        <v>0.10100000000000001</v>
      </c>
      <c r="I138" s="363" t="s">
        <v>272</v>
      </c>
      <c r="J138" s="355">
        <f>H138-L138</f>
        <v>3.2000000000000001E-2</v>
      </c>
      <c r="K138" s="363" t="s">
        <v>273</v>
      </c>
      <c r="L138" s="64">
        <v>6.9000000000000006E-2</v>
      </c>
      <c r="M138" s="363" t="s">
        <v>58</v>
      </c>
      <c r="N138" s="65">
        <v>49</v>
      </c>
      <c r="O138" s="363" t="s">
        <v>60</v>
      </c>
      <c r="P138" s="65">
        <v>49</v>
      </c>
      <c r="Q138" s="363" t="s">
        <v>61</v>
      </c>
      <c r="R138" s="65">
        <v>98</v>
      </c>
      <c r="S138" s="363" t="s">
        <v>62</v>
      </c>
      <c r="T138" s="65">
        <v>29</v>
      </c>
      <c r="U138" s="363" t="s">
        <v>55</v>
      </c>
      <c r="V138" s="66" t="s">
        <v>402</v>
      </c>
      <c r="W138" s="463" t="s">
        <v>396</v>
      </c>
      <c r="X138" s="465">
        <v>1.8</v>
      </c>
      <c r="Y138" s="463" t="s">
        <v>395</v>
      </c>
      <c r="Z138" s="358">
        <v>12</v>
      </c>
    </row>
    <row r="139" spans="1:26" x14ac:dyDescent="0.25">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5">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8" thickBot="1" x14ac:dyDescent="0.3">
      <c r="A141" s="379" t="s">
        <v>117</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8" thickBot="1" x14ac:dyDescent="0.3">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8" thickBot="1" x14ac:dyDescent="0.3">
      <c r="A143" s="361" t="s">
        <v>385</v>
      </c>
      <c r="B143" s="359">
        <f>ROW(A143)</f>
        <v>143</v>
      </c>
      <c r="C143" s="363" t="s">
        <v>116</v>
      </c>
      <c r="D143" s="353">
        <f>SUM(B146:Y146)</f>
        <v>54.110016122119539</v>
      </c>
      <c r="E143" s="363" t="s">
        <v>115</v>
      </c>
      <c r="F143" s="354">
        <f>D143/g/J143</f>
        <v>146.69685764124625</v>
      </c>
      <c r="G143" s="363" t="s">
        <v>57</v>
      </c>
      <c r="H143" s="64">
        <v>0.10580000000000001</v>
      </c>
      <c r="I143" s="363" t="s">
        <v>272</v>
      </c>
      <c r="J143" s="355">
        <f>H143-L143</f>
        <v>3.7600000000000008E-2</v>
      </c>
      <c r="K143" s="363" t="s">
        <v>273</v>
      </c>
      <c r="L143" s="64">
        <v>6.8199999999999997E-2</v>
      </c>
      <c r="M143" s="363" t="s">
        <v>58</v>
      </c>
      <c r="N143" s="65">
        <v>49</v>
      </c>
      <c r="O143" s="363" t="s">
        <v>60</v>
      </c>
      <c r="P143" s="65">
        <v>49</v>
      </c>
      <c r="Q143" s="363" t="s">
        <v>61</v>
      </c>
      <c r="R143" s="65">
        <v>98</v>
      </c>
      <c r="S143" s="363" t="s">
        <v>62</v>
      </c>
      <c r="T143" s="65">
        <v>29</v>
      </c>
      <c r="U143" s="363" t="s">
        <v>55</v>
      </c>
      <c r="V143" s="66" t="s">
        <v>401</v>
      </c>
      <c r="W143" s="463" t="s">
        <v>396</v>
      </c>
      <c r="X143" s="465">
        <v>1.9</v>
      </c>
      <c r="Y143" s="463" t="s">
        <v>395</v>
      </c>
      <c r="Z143" s="358">
        <v>12</v>
      </c>
    </row>
    <row r="144" spans="1:26" x14ac:dyDescent="0.25">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5">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8" thickBot="1" x14ac:dyDescent="0.3">
      <c r="A146" s="379" t="s">
        <v>117</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8" thickBot="1" x14ac:dyDescent="0.3">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8" thickBot="1" x14ac:dyDescent="0.3">
      <c r="A148" s="361" t="s">
        <v>547</v>
      </c>
      <c r="B148" s="359">
        <f>ROW(A148)</f>
        <v>148</v>
      </c>
      <c r="C148" s="363" t="s">
        <v>116</v>
      </c>
      <c r="D148" s="353">
        <f>SUM(B151:Y151)</f>
        <v>55.589492</v>
      </c>
      <c r="E148" s="363" t="s">
        <v>115</v>
      </c>
      <c r="F148" s="354">
        <f>D148/g/J148</f>
        <v>177.08171508664634</v>
      </c>
      <c r="G148" s="363" t="s">
        <v>57</v>
      </c>
      <c r="H148" s="64">
        <v>0.10199999999999999</v>
      </c>
      <c r="I148" s="363" t="s">
        <v>272</v>
      </c>
      <c r="J148" s="355">
        <f>H148-L148</f>
        <v>3.1999999999999987E-2</v>
      </c>
      <c r="K148" s="363" t="s">
        <v>273</v>
      </c>
      <c r="L148" s="64">
        <v>7.0000000000000007E-2</v>
      </c>
      <c r="M148" s="363" t="s">
        <v>58</v>
      </c>
      <c r="N148" s="65">
        <v>49</v>
      </c>
      <c r="O148" s="363" t="s">
        <v>60</v>
      </c>
      <c r="P148" s="65">
        <v>49</v>
      </c>
      <c r="Q148" s="363" t="s">
        <v>61</v>
      </c>
      <c r="R148" s="65">
        <v>98</v>
      </c>
      <c r="S148" s="363" t="s">
        <v>62</v>
      </c>
      <c r="T148" s="65">
        <v>29</v>
      </c>
      <c r="U148" s="363" t="s">
        <v>55</v>
      </c>
      <c r="V148" s="66" t="s">
        <v>402</v>
      </c>
      <c r="W148" s="463" t="s">
        <v>396</v>
      </c>
      <c r="X148" s="465">
        <v>0.45</v>
      </c>
      <c r="Y148" s="463" t="s">
        <v>395</v>
      </c>
      <c r="Z148" s="358">
        <v>12</v>
      </c>
    </row>
    <row r="149" spans="1:26" x14ac:dyDescent="0.25">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5">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8" thickBot="1" x14ac:dyDescent="0.3">
      <c r="A151" s="379" t="s">
        <v>117</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8" thickBot="1" x14ac:dyDescent="0.3">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8" thickBot="1" x14ac:dyDescent="0.3">
      <c r="A153" s="361" t="s">
        <v>386</v>
      </c>
      <c r="B153" s="359">
        <f>ROW(A153)</f>
        <v>153</v>
      </c>
      <c r="C153" s="363" t="s">
        <v>116</v>
      </c>
      <c r="D153" s="353">
        <f>SUM(B156:Y156)</f>
        <v>55.705884500000003</v>
      </c>
      <c r="E153" s="363" t="s">
        <v>115</v>
      </c>
      <c r="F153" s="354">
        <f>D153/g/J153</f>
        <v>180.84329814241278</v>
      </c>
      <c r="G153" s="363" t="s">
        <v>57</v>
      </c>
      <c r="H153" s="64">
        <v>0.1062</v>
      </c>
      <c r="I153" s="363" t="s">
        <v>272</v>
      </c>
      <c r="J153" s="355">
        <f>H153-L153</f>
        <v>3.1400000000000011E-2</v>
      </c>
      <c r="K153" s="363" t="s">
        <v>273</v>
      </c>
      <c r="L153" s="64">
        <v>7.4799999999999991E-2</v>
      </c>
      <c r="M153" s="363" t="s">
        <v>58</v>
      </c>
      <c r="N153" s="65">
        <v>49</v>
      </c>
      <c r="O153" s="363" t="s">
        <v>60</v>
      </c>
      <c r="P153" s="65">
        <v>49</v>
      </c>
      <c r="Q153" s="363" t="s">
        <v>61</v>
      </c>
      <c r="R153" s="65">
        <v>98</v>
      </c>
      <c r="S153" s="363" t="s">
        <v>62</v>
      </c>
      <c r="T153" s="65">
        <v>29</v>
      </c>
      <c r="U153" s="363" t="s">
        <v>55</v>
      </c>
      <c r="V153" s="66" t="s">
        <v>402</v>
      </c>
      <c r="W153" s="463" t="s">
        <v>396</v>
      </c>
      <c r="X153" s="465">
        <v>0.45</v>
      </c>
      <c r="Y153" s="463" t="s">
        <v>395</v>
      </c>
      <c r="Z153" s="358">
        <v>14</v>
      </c>
    </row>
    <row r="154" spans="1:26" x14ac:dyDescent="0.25">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5">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8" thickBot="1" x14ac:dyDescent="0.3">
      <c r="A156" s="379" t="s">
        <v>117</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8" thickBot="1" x14ac:dyDescent="0.3">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8" thickBot="1" x14ac:dyDescent="0.3">
      <c r="A158" s="361" t="s">
        <v>387</v>
      </c>
      <c r="B158" s="359">
        <f>ROW(A158)</f>
        <v>158</v>
      </c>
      <c r="C158" s="363" t="s">
        <v>116</v>
      </c>
      <c r="D158" s="353">
        <f>SUM(B161:Y161)</f>
        <v>57.190000000000005</v>
      </c>
      <c r="E158" s="363" t="s">
        <v>115</v>
      </c>
      <c r="F158" s="354">
        <f>D158/g/J158</f>
        <v>188.05695307618953</v>
      </c>
      <c r="G158" s="363" t="s">
        <v>57</v>
      </c>
      <c r="H158" s="64">
        <v>9.9000000000000005E-2</v>
      </c>
      <c r="I158" s="363" t="s">
        <v>272</v>
      </c>
      <c r="J158" s="355">
        <f>H158-L158</f>
        <v>3.1E-2</v>
      </c>
      <c r="K158" s="363" t="s">
        <v>273</v>
      </c>
      <c r="L158" s="64">
        <v>6.8000000000000005E-2</v>
      </c>
      <c r="M158" s="363" t="s">
        <v>58</v>
      </c>
      <c r="N158" s="65">
        <v>49</v>
      </c>
      <c r="O158" s="363" t="s">
        <v>60</v>
      </c>
      <c r="P158" s="65">
        <v>49</v>
      </c>
      <c r="Q158" s="363" t="s">
        <v>61</v>
      </c>
      <c r="R158" s="65">
        <v>98</v>
      </c>
      <c r="S158" s="363" t="s">
        <v>62</v>
      </c>
      <c r="T158" s="65">
        <v>29</v>
      </c>
      <c r="U158" s="363" t="s">
        <v>55</v>
      </c>
      <c r="V158" s="66" t="s">
        <v>402</v>
      </c>
      <c r="W158" s="463" t="s">
        <v>396</v>
      </c>
      <c r="X158" s="465">
        <v>0.96</v>
      </c>
      <c r="Y158" s="463" t="s">
        <v>395</v>
      </c>
      <c r="Z158" s="358">
        <v>12</v>
      </c>
    </row>
    <row r="159" spans="1:26" x14ac:dyDescent="0.25">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5">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8" thickBot="1" x14ac:dyDescent="0.3">
      <c r="A161" s="379" t="s">
        <v>117</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8" thickBot="1" x14ac:dyDescent="0.3">
      <c r="A162" s="6" t="s">
        <v>316</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8" thickBot="1" x14ac:dyDescent="0.3">
      <c r="A163" s="361" t="s">
        <v>323</v>
      </c>
      <c r="B163" s="359">
        <f>ROW(A163)</f>
        <v>163</v>
      </c>
      <c r="C163" s="363" t="s">
        <v>116</v>
      </c>
      <c r="D163" s="353">
        <f>SUM(B166:Y166)</f>
        <v>59.702267000000006</v>
      </c>
      <c r="E163" s="363" t="s">
        <v>115</v>
      </c>
      <c r="F163" s="354">
        <f>D163/g/J163</f>
        <v>190.77924771281306</v>
      </c>
      <c r="G163" s="363" t="s">
        <v>57</v>
      </c>
      <c r="H163" s="64">
        <v>9.3899999999999997E-2</v>
      </c>
      <c r="I163" s="363" t="s">
        <v>272</v>
      </c>
      <c r="J163" s="355">
        <f>H163-L163</f>
        <v>3.1899999999999998E-2</v>
      </c>
      <c r="K163" s="363" t="s">
        <v>273</v>
      </c>
      <c r="L163" s="64">
        <f>0.095-0.033</f>
        <v>6.2E-2</v>
      </c>
      <c r="M163" s="363" t="s">
        <v>58</v>
      </c>
      <c r="N163" s="396">
        <v>66.5</v>
      </c>
      <c r="O163" s="363" t="s">
        <v>60</v>
      </c>
      <c r="P163" s="396">
        <v>66.5</v>
      </c>
      <c r="Q163" s="363" t="s">
        <v>61</v>
      </c>
      <c r="R163" s="65">
        <v>133</v>
      </c>
      <c r="S163" s="363" t="s">
        <v>62</v>
      </c>
      <c r="T163" s="65">
        <v>24</v>
      </c>
      <c r="U163" s="363" t="s">
        <v>55</v>
      </c>
      <c r="V163" s="66" t="s">
        <v>401</v>
      </c>
      <c r="W163" s="463" t="s">
        <v>396</v>
      </c>
      <c r="X163" s="465">
        <v>1.2</v>
      </c>
      <c r="Y163" s="463" t="s">
        <v>395</v>
      </c>
      <c r="Z163" s="358">
        <v>13</v>
      </c>
    </row>
    <row r="164" spans="1:26" x14ac:dyDescent="0.25">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5">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8" thickBot="1" x14ac:dyDescent="0.3">
      <c r="A166" s="379" t="s">
        <v>117</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8" thickBot="1" x14ac:dyDescent="0.3"/>
    <row r="168" spans="1:26" ht="13.8" thickBot="1" x14ac:dyDescent="0.3">
      <c r="A168" s="361" t="s">
        <v>324</v>
      </c>
      <c r="B168" s="359">
        <f>ROW(A168)</f>
        <v>168</v>
      </c>
      <c r="C168" s="363" t="s">
        <v>116</v>
      </c>
      <c r="D168" s="353">
        <f>SUM(B171:Y171)</f>
        <v>68.380602999999994</v>
      </c>
      <c r="E168" s="363" t="s">
        <v>115</v>
      </c>
      <c r="F168" s="354">
        <f>D168/g/J168</f>
        <v>134.04807300243078</v>
      </c>
      <c r="G168" s="363" t="s">
        <v>57</v>
      </c>
      <c r="H168" s="64">
        <v>0.1075</v>
      </c>
      <c r="I168" s="363" t="s">
        <v>272</v>
      </c>
      <c r="J168" s="355">
        <f>H168-L168</f>
        <v>5.1999999999999998E-2</v>
      </c>
      <c r="K168" s="363" t="s">
        <v>273</v>
      </c>
      <c r="L168" s="64">
        <v>5.5500000000000001E-2</v>
      </c>
      <c r="M168" s="363" t="s">
        <v>58</v>
      </c>
      <c r="N168" s="396">
        <v>66.5</v>
      </c>
      <c r="O168" s="363" t="s">
        <v>60</v>
      </c>
      <c r="P168" s="396">
        <v>66.5</v>
      </c>
      <c r="Q168" s="363" t="s">
        <v>61</v>
      </c>
      <c r="R168" s="65">
        <v>133</v>
      </c>
      <c r="S168" s="363" t="s">
        <v>62</v>
      </c>
      <c r="T168" s="65">
        <v>24</v>
      </c>
      <c r="U168" s="363" t="s">
        <v>55</v>
      </c>
      <c r="V168" s="66" t="s">
        <v>401</v>
      </c>
      <c r="W168" s="463" t="s">
        <v>396</v>
      </c>
      <c r="X168" s="465">
        <v>0.86</v>
      </c>
      <c r="Y168" s="463" t="s">
        <v>395</v>
      </c>
      <c r="Z168" s="358">
        <v>13</v>
      </c>
    </row>
    <row r="169" spans="1:26" x14ac:dyDescent="0.25">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5">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8" thickBot="1" x14ac:dyDescent="0.3">
      <c r="A171" s="379" t="s">
        <v>117</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8" thickBot="1" x14ac:dyDescent="0.3">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8" thickBot="1" x14ac:dyDescent="0.3">
      <c r="A173" s="361" t="s">
        <v>325</v>
      </c>
      <c r="B173" s="359">
        <f>ROW(A173)</f>
        <v>173</v>
      </c>
      <c r="C173" s="363" t="s">
        <v>116</v>
      </c>
      <c r="D173" s="353">
        <f>SUM(B176:Y176)</f>
        <v>67.985428500000012</v>
      </c>
      <c r="E173" s="363" t="s">
        <v>115</v>
      </c>
      <c r="F173" s="354">
        <f>D173/g/J173</f>
        <v>181.89545859519862</v>
      </c>
      <c r="G173" s="363" t="s">
        <v>57</v>
      </c>
      <c r="H173" s="64">
        <v>9.1799999999999993E-2</v>
      </c>
      <c r="I173" s="363" t="s">
        <v>272</v>
      </c>
      <c r="J173" s="355">
        <f>H173-L173</f>
        <v>3.8099999999999988E-2</v>
      </c>
      <c r="K173" s="363" t="s">
        <v>273</v>
      </c>
      <c r="L173" s="64">
        <v>5.3700000000000005E-2</v>
      </c>
      <c r="M173" s="363" t="s">
        <v>58</v>
      </c>
      <c r="N173" s="396">
        <v>66.5</v>
      </c>
      <c r="O173" s="363" t="s">
        <v>60</v>
      </c>
      <c r="P173" s="396">
        <v>66.5</v>
      </c>
      <c r="Q173" s="363" t="s">
        <v>61</v>
      </c>
      <c r="R173" s="65">
        <v>133</v>
      </c>
      <c r="S173" s="363" t="s">
        <v>62</v>
      </c>
      <c r="T173" s="65">
        <v>24</v>
      </c>
      <c r="U173" s="363" t="s">
        <v>55</v>
      </c>
      <c r="V173" s="66" t="s">
        <v>401</v>
      </c>
      <c r="W173" s="463" t="s">
        <v>396</v>
      </c>
      <c r="X173" s="465">
        <v>0.33</v>
      </c>
      <c r="Y173" s="463" t="s">
        <v>395</v>
      </c>
      <c r="Z173" s="358">
        <v>15</v>
      </c>
    </row>
    <row r="174" spans="1:26" x14ac:dyDescent="0.25">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5">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8" thickBot="1" x14ac:dyDescent="0.3">
      <c r="A176" s="379" t="s">
        <v>117</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8" thickBot="1" x14ac:dyDescent="0.3">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8" thickBot="1" x14ac:dyDescent="0.3">
      <c r="A178" s="361" t="s">
        <v>326</v>
      </c>
      <c r="B178" s="359">
        <f>ROW(A178)</f>
        <v>178</v>
      </c>
      <c r="C178" s="363" t="s">
        <v>116</v>
      </c>
      <c r="D178" s="353">
        <f>SUM(B181:Y181)</f>
        <v>73.557381500000005</v>
      </c>
      <c r="E178" s="363" t="s">
        <v>115</v>
      </c>
      <c r="F178" s="354">
        <f>D178/g/J178</f>
        <v>156.86619302308719</v>
      </c>
      <c r="G178" s="363" t="s">
        <v>57</v>
      </c>
      <c r="H178" s="64">
        <v>0.1022</v>
      </c>
      <c r="I178" s="363" t="s">
        <v>272</v>
      </c>
      <c r="J178" s="355">
        <f>H178-L178</f>
        <v>4.7800000000000002E-2</v>
      </c>
      <c r="K178" s="363" t="s">
        <v>273</v>
      </c>
      <c r="L178" s="64">
        <v>5.4399999999999997E-2</v>
      </c>
      <c r="M178" s="363" t="s">
        <v>58</v>
      </c>
      <c r="N178" s="396">
        <v>66.5</v>
      </c>
      <c r="O178" s="363" t="s">
        <v>60</v>
      </c>
      <c r="P178" s="396">
        <v>66.5</v>
      </c>
      <c r="Q178" s="363" t="s">
        <v>61</v>
      </c>
      <c r="R178" s="65">
        <v>133</v>
      </c>
      <c r="S178" s="363" t="s">
        <v>62</v>
      </c>
      <c r="T178" s="65">
        <v>24</v>
      </c>
      <c r="U178" s="363" t="s">
        <v>55</v>
      </c>
      <c r="V178" s="66" t="s">
        <v>401</v>
      </c>
      <c r="W178" s="463" t="s">
        <v>396</v>
      </c>
      <c r="X178" s="465">
        <v>2.36</v>
      </c>
      <c r="Y178" s="463" t="s">
        <v>395</v>
      </c>
      <c r="Z178" s="358">
        <v>6</v>
      </c>
    </row>
    <row r="179" spans="1:26" x14ac:dyDescent="0.25">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5">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8" thickBot="1" x14ac:dyDescent="0.3">
      <c r="A181" s="379" t="s">
        <v>117</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8" thickBot="1" x14ac:dyDescent="0.3">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8" thickBot="1" x14ac:dyDescent="0.3">
      <c r="A183" s="361" t="s">
        <v>327</v>
      </c>
      <c r="B183" s="359">
        <f>ROW(A183)</f>
        <v>183</v>
      </c>
      <c r="C183" s="363" t="s">
        <v>116</v>
      </c>
      <c r="D183" s="353">
        <f>SUM(B186:Y186)</f>
        <v>73.169517999999997</v>
      </c>
      <c r="E183" s="363" t="s">
        <v>115</v>
      </c>
      <c r="F183" s="354">
        <f>D183/g/J183</f>
        <v>177.58729673316827</v>
      </c>
      <c r="G183" s="363" t="s">
        <v>57</v>
      </c>
      <c r="H183" s="64">
        <v>9.6000000000000002E-2</v>
      </c>
      <c r="I183" s="363" t="s">
        <v>272</v>
      </c>
      <c r="J183" s="355">
        <f>H183-L183</f>
        <v>4.2000000000000003E-2</v>
      </c>
      <c r="K183" s="363" t="s">
        <v>273</v>
      </c>
      <c r="L183" s="64">
        <v>5.3999999999999999E-2</v>
      </c>
      <c r="M183" s="363" t="s">
        <v>58</v>
      </c>
      <c r="N183" s="396">
        <v>66.5</v>
      </c>
      <c r="O183" s="363" t="s">
        <v>60</v>
      </c>
      <c r="P183" s="396">
        <v>66.5</v>
      </c>
      <c r="Q183" s="363" t="s">
        <v>61</v>
      </c>
      <c r="R183" s="65">
        <v>133</v>
      </c>
      <c r="S183" s="363" t="s">
        <v>62</v>
      </c>
      <c r="T183" s="65">
        <v>24</v>
      </c>
      <c r="U183" s="363" t="s">
        <v>55</v>
      </c>
      <c r="V183" s="66" t="s">
        <v>401</v>
      </c>
      <c r="W183" s="463" t="s">
        <v>396</v>
      </c>
      <c r="X183" s="465">
        <v>0.87</v>
      </c>
      <c r="Y183" s="463" t="s">
        <v>395</v>
      </c>
      <c r="Z183" s="358">
        <v>15</v>
      </c>
    </row>
    <row r="184" spans="1:26" x14ac:dyDescent="0.25">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5">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8" thickBot="1" x14ac:dyDescent="0.3">
      <c r="A186" s="379" t="s">
        <v>117</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8" thickBot="1" x14ac:dyDescent="0.3">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8" thickBot="1" x14ac:dyDescent="0.3">
      <c r="A188" s="361" t="s">
        <v>328</v>
      </c>
      <c r="B188" s="359">
        <f>ROW(A188)</f>
        <v>188</v>
      </c>
      <c r="C188" s="363" t="s">
        <v>116</v>
      </c>
      <c r="D188" s="353">
        <f>SUM(B191:Y191)</f>
        <v>75.254384000000016</v>
      </c>
      <c r="E188" s="363" t="s">
        <v>115</v>
      </c>
      <c r="F188" s="354">
        <f>D188/g/J188</f>
        <v>232.46033422914161</v>
      </c>
      <c r="G188" s="363" t="s">
        <v>57</v>
      </c>
      <c r="H188" s="64">
        <v>9.5000000000000001E-2</v>
      </c>
      <c r="I188" s="363" t="s">
        <v>272</v>
      </c>
      <c r="J188" s="355">
        <f>H188-L188</f>
        <v>3.3000000000000002E-2</v>
      </c>
      <c r="K188" s="363" t="s">
        <v>273</v>
      </c>
      <c r="L188" s="64">
        <f>0.095-0.033</f>
        <v>6.2E-2</v>
      </c>
      <c r="M188" s="363" t="s">
        <v>58</v>
      </c>
      <c r="N188" s="396">
        <v>66.5</v>
      </c>
      <c r="O188" s="363" t="s">
        <v>60</v>
      </c>
      <c r="P188" s="396">
        <v>66.5</v>
      </c>
      <c r="Q188" s="363" t="s">
        <v>61</v>
      </c>
      <c r="R188" s="65">
        <v>133</v>
      </c>
      <c r="S188" s="363" t="s">
        <v>62</v>
      </c>
      <c r="T188" s="65">
        <v>24</v>
      </c>
      <c r="U188" s="363" t="s">
        <v>55</v>
      </c>
      <c r="V188" s="66" t="s">
        <v>401</v>
      </c>
      <c r="W188" s="463" t="s">
        <v>396</v>
      </c>
      <c r="X188" s="465">
        <v>1.5</v>
      </c>
      <c r="Y188" s="463" t="s">
        <v>395</v>
      </c>
      <c r="Z188" s="358">
        <v>12</v>
      </c>
    </row>
    <row r="189" spans="1:26" x14ac:dyDescent="0.25">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5">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8" thickBot="1" x14ac:dyDescent="0.3">
      <c r="A191" s="379" t="s">
        <v>117</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8" thickBot="1" x14ac:dyDescent="0.3">
      <c r="A192" s="6" t="s">
        <v>375</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8" thickBot="1" x14ac:dyDescent="0.3">
      <c r="A193" s="361" t="s">
        <v>538</v>
      </c>
      <c r="B193" s="359">
        <f>ROW(A193)</f>
        <v>193</v>
      </c>
      <c r="C193" s="363" t="s">
        <v>116</v>
      </c>
      <c r="D193" s="353">
        <f>SUM(B196:Y196)</f>
        <v>141.04999999999998</v>
      </c>
      <c r="E193" s="363" t="s">
        <v>115</v>
      </c>
      <c r="F193" s="354">
        <f>D193/g/J193</f>
        <v>186.24592648930721</v>
      </c>
      <c r="G193" s="363" t="s">
        <v>57</v>
      </c>
      <c r="H193" s="64">
        <v>0.16189999999999999</v>
      </c>
      <c r="I193" s="363" t="s">
        <v>272</v>
      </c>
      <c r="J193" s="355">
        <f>H193-L193</f>
        <v>7.7199999999999991E-2</v>
      </c>
      <c r="K193" s="363" t="s">
        <v>273</v>
      </c>
      <c r="L193" s="64">
        <v>8.4699999999999998E-2</v>
      </c>
      <c r="M193" s="363" t="s">
        <v>58</v>
      </c>
      <c r="N193" s="65">
        <v>114</v>
      </c>
      <c r="O193" s="363" t="s">
        <v>60</v>
      </c>
      <c r="P193" s="65">
        <v>114</v>
      </c>
      <c r="Q193" s="363" t="s">
        <v>61</v>
      </c>
      <c r="R193" s="65">
        <v>228</v>
      </c>
      <c r="S193" s="363" t="s">
        <v>62</v>
      </c>
      <c r="T193" s="65">
        <v>24</v>
      </c>
      <c r="U193" s="363" t="s">
        <v>55</v>
      </c>
      <c r="V193" s="66" t="s">
        <v>120</v>
      </c>
      <c r="W193" s="463" t="s">
        <v>396</v>
      </c>
      <c r="X193" s="465">
        <v>0.96</v>
      </c>
      <c r="Y193" s="463" t="s">
        <v>395</v>
      </c>
      <c r="Z193" s="358">
        <v>15</v>
      </c>
    </row>
    <row r="194" spans="1:26" x14ac:dyDescent="0.25">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5">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8" thickBot="1" x14ac:dyDescent="0.3">
      <c r="A196" s="379" t="s">
        <v>117</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8" thickBot="1" x14ac:dyDescent="0.3">
      <c r="A197" s="12" t="s">
        <v>548</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8" thickBot="1" x14ac:dyDescent="0.3">
      <c r="A198" s="361" t="s">
        <v>553</v>
      </c>
      <c r="B198" s="359">
        <f>ROW(A198)</f>
        <v>198</v>
      </c>
      <c r="C198" s="363" t="s">
        <v>116</v>
      </c>
      <c r="D198" s="353">
        <f>SUM(B201:Y201)</f>
        <v>142.44</v>
      </c>
      <c r="E198" s="363" t="s">
        <v>115</v>
      </c>
      <c r="F198" s="354">
        <f>D198/g/J198</f>
        <v>192.06187401906058</v>
      </c>
      <c r="G198" s="363" t="s">
        <v>57</v>
      </c>
      <c r="H198" s="64">
        <v>0.15989999999999999</v>
      </c>
      <c r="I198" s="363" t="s">
        <v>272</v>
      </c>
      <c r="J198" s="355">
        <f>H198-L198</f>
        <v>7.5599999999999987E-2</v>
      </c>
      <c r="K198" s="363" t="s">
        <v>273</v>
      </c>
      <c r="L198" s="64">
        <v>8.43E-2</v>
      </c>
      <c r="M198" s="363" t="s">
        <v>58</v>
      </c>
      <c r="N198" s="65">
        <v>114</v>
      </c>
      <c r="O198" s="363" t="s">
        <v>60</v>
      </c>
      <c r="P198" s="65">
        <v>114</v>
      </c>
      <c r="Q198" s="363" t="s">
        <v>61</v>
      </c>
      <c r="R198" s="65">
        <v>228</v>
      </c>
      <c r="S198" s="363" t="s">
        <v>62</v>
      </c>
      <c r="T198" s="65">
        <v>24</v>
      </c>
      <c r="U198" s="363" t="s">
        <v>55</v>
      </c>
      <c r="V198" s="66" t="s">
        <v>403</v>
      </c>
      <c r="W198" s="463" t="s">
        <v>396</v>
      </c>
      <c r="X198" s="465">
        <v>0.97</v>
      </c>
      <c r="Y198" s="463" t="s">
        <v>395</v>
      </c>
      <c r="Z198" s="358"/>
    </row>
    <row r="199" spans="1:26" x14ac:dyDescent="0.25">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5">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8" thickBot="1" x14ac:dyDescent="0.3">
      <c r="A201" s="379" t="s">
        <v>117</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8" thickBot="1" x14ac:dyDescent="0.3">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8" thickBot="1" x14ac:dyDescent="0.3">
      <c r="A203" s="361" t="s">
        <v>540</v>
      </c>
      <c r="B203" s="359">
        <f>ROW(A203)</f>
        <v>203</v>
      </c>
      <c r="C203" s="363" t="s">
        <v>116</v>
      </c>
      <c r="D203" s="353">
        <f>SUM(B206:Y206)</f>
        <v>143.08845000000002</v>
      </c>
      <c r="E203" s="363" t="s">
        <v>115</v>
      </c>
      <c r="F203" s="354">
        <f>D203/g/J203</f>
        <v>168.23504721190514</v>
      </c>
      <c r="G203" s="363" t="s">
        <v>57</v>
      </c>
      <c r="H203" s="64">
        <v>0.17249999999999999</v>
      </c>
      <c r="I203" s="363" t="s">
        <v>272</v>
      </c>
      <c r="J203" s="355">
        <f>H203-L203</f>
        <v>8.6699999999999985E-2</v>
      </c>
      <c r="K203" s="363" t="s">
        <v>273</v>
      </c>
      <c r="L203" s="64">
        <v>8.5800000000000001E-2</v>
      </c>
      <c r="M203" s="363" t="s">
        <v>58</v>
      </c>
      <c r="N203" s="65">
        <v>114</v>
      </c>
      <c r="O203" s="363" t="s">
        <v>60</v>
      </c>
      <c r="P203" s="65">
        <v>114</v>
      </c>
      <c r="Q203" s="363" t="s">
        <v>61</v>
      </c>
      <c r="R203" s="65">
        <v>228</v>
      </c>
      <c r="S203" s="363" t="s">
        <v>62</v>
      </c>
      <c r="T203" s="65">
        <v>24</v>
      </c>
      <c r="U203" s="363" t="s">
        <v>55</v>
      </c>
      <c r="V203" s="66" t="s">
        <v>120</v>
      </c>
      <c r="W203" s="463" t="s">
        <v>396</v>
      </c>
      <c r="X203" s="465">
        <v>0.97</v>
      </c>
      <c r="Y203" s="463" t="s">
        <v>395</v>
      </c>
      <c r="Z203" s="358">
        <v>11</v>
      </c>
    </row>
    <row r="204" spans="1:26" x14ac:dyDescent="0.25">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5">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8" thickBot="1" x14ac:dyDescent="0.3">
      <c r="A206" s="379" t="s">
        <v>117</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8" thickBot="1" x14ac:dyDescent="0.3">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8" thickBot="1" x14ac:dyDescent="0.3">
      <c r="A208" s="361" t="s">
        <v>539</v>
      </c>
      <c r="B208" s="359">
        <f>ROW(A208)</f>
        <v>208</v>
      </c>
      <c r="C208" s="363" t="s">
        <v>116</v>
      </c>
      <c r="D208" s="353">
        <f>SUM(B211:Y211)</f>
        <v>139.423417</v>
      </c>
      <c r="E208" s="363" t="s">
        <v>115</v>
      </c>
      <c r="F208" s="354">
        <f>D208/g/J208</f>
        <v>158.62027745922524</v>
      </c>
      <c r="G208" s="363" t="s">
        <v>57</v>
      </c>
      <c r="H208" s="64">
        <v>0.19450000000000001</v>
      </c>
      <c r="I208" s="363" t="s">
        <v>272</v>
      </c>
      <c r="J208" s="355">
        <f>H208-L208</f>
        <v>8.9600000000000013E-2</v>
      </c>
      <c r="K208" s="363" t="s">
        <v>273</v>
      </c>
      <c r="L208" s="64">
        <v>0.10489999999999999</v>
      </c>
      <c r="M208" s="363" t="s">
        <v>58</v>
      </c>
      <c r="N208" s="65">
        <v>114</v>
      </c>
      <c r="O208" s="363" t="s">
        <v>60</v>
      </c>
      <c r="P208" s="65">
        <v>144</v>
      </c>
      <c r="Q208" s="363" t="s">
        <v>61</v>
      </c>
      <c r="R208" s="65">
        <v>228</v>
      </c>
      <c r="S208" s="363" t="s">
        <v>62</v>
      </c>
      <c r="T208" s="65">
        <v>24</v>
      </c>
      <c r="U208" s="363" t="s">
        <v>55</v>
      </c>
      <c r="V208" s="66" t="s">
        <v>120</v>
      </c>
      <c r="W208" s="463" t="s">
        <v>396</v>
      </c>
      <c r="X208" s="465">
        <v>1.3</v>
      </c>
      <c r="Y208" s="463" t="s">
        <v>395</v>
      </c>
      <c r="Z208" s="358">
        <v>12</v>
      </c>
    </row>
    <row r="209" spans="1:26" x14ac:dyDescent="0.25">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5">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8" thickBot="1" x14ac:dyDescent="0.3">
      <c r="A211" s="379" t="s">
        <v>117</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8" thickBot="1" x14ac:dyDescent="0.3">
      <c r="A212" s="6" t="s">
        <v>317</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8" thickBot="1" x14ac:dyDescent="0.3">
      <c r="A213" s="361" t="s">
        <v>377</v>
      </c>
      <c r="B213" s="359">
        <f>ROW(A213)</f>
        <v>213</v>
      </c>
      <c r="C213" s="363" t="s">
        <v>116</v>
      </c>
      <c r="D213" s="353">
        <f>SUM(B216:Y216)</f>
        <v>82.798500000000018</v>
      </c>
      <c r="E213" s="363" t="s">
        <v>115</v>
      </c>
      <c r="F213" s="354">
        <f>D213/g/J213</f>
        <v>131.87834480122325</v>
      </c>
      <c r="G213" s="363" t="s">
        <v>57</v>
      </c>
      <c r="H213" s="64">
        <v>0.152</v>
      </c>
      <c r="I213" s="363" t="s">
        <v>272</v>
      </c>
      <c r="J213" s="355">
        <f>H213-L213</f>
        <v>6.4000000000000001E-2</v>
      </c>
      <c r="K213" s="363" t="s">
        <v>273</v>
      </c>
      <c r="L213" s="64">
        <v>8.7999999999999995E-2</v>
      </c>
      <c r="M213" s="363" t="s">
        <v>58</v>
      </c>
      <c r="N213" s="65">
        <v>71</v>
      </c>
      <c r="O213" s="363" t="s">
        <v>60</v>
      </c>
      <c r="P213" s="65">
        <v>71</v>
      </c>
      <c r="Q213" s="363" t="s">
        <v>61</v>
      </c>
      <c r="R213" s="65">
        <v>142</v>
      </c>
      <c r="S213" s="363" t="s">
        <v>62</v>
      </c>
      <c r="T213" s="65">
        <v>29</v>
      </c>
      <c r="U213" s="363" t="s">
        <v>55</v>
      </c>
      <c r="V213" s="66" t="s">
        <v>120</v>
      </c>
      <c r="W213" s="463" t="s">
        <v>396</v>
      </c>
      <c r="X213" s="465">
        <v>0.96</v>
      </c>
      <c r="Y213" s="463" t="s">
        <v>395</v>
      </c>
      <c r="Z213" s="358">
        <v>11</v>
      </c>
    </row>
    <row r="214" spans="1:26" x14ac:dyDescent="0.25">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5">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8" thickBot="1" x14ac:dyDescent="0.3">
      <c r="A216" s="379" t="s">
        <v>117</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8" thickBot="1" x14ac:dyDescent="0.3">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8" thickBot="1" x14ac:dyDescent="0.3">
      <c r="A218" s="361" t="s">
        <v>378</v>
      </c>
      <c r="B218" s="359">
        <f>ROW(A218)</f>
        <v>218</v>
      </c>
      <c r="C218" s="363" t="s">
        <v>116</v>
      </c>
      <c r="D218" s="353">
        <f>SUM(B221:Y221)</f>
        <v>98.257101163036367</v>
      </c>
      <c r="E218" s="363" t="s">
        <v>115</v>
      </c>
      <c r="F218" s="354">
        <f>D218/g/J218</f>
        <v>177.58890761893778</v>
      </c>
      <c r="G218" s="363" t="s">
        <v>57</v>
      </c>
      <c r="H218" s="64">
        <v>0.14319999999999999</v>
      </c>
      <c r="I218" s="363" t="s">
        <v>272</v>
      </c>
      <c r="J218" s="355">
        <f>H218-L218</f>
        <v>5.6399999999999992E-2</v>
      </c>
      <c r="K218" s="363" t="s">
        <v>273</v>
      </c>
      <c r="L218" s="64">
        <v>8.6800000000000002E-2</v>
      </c>
      <c r="M218" s="363" t="s">
        <v>58</v>
      </c>
      <c r="N218" s="65">
        <v>71</v>
      </c>
      <c r="O218" s="363" t="s">
        <v>60</v>
      </c>
      <c r="P218" s="65">
        <v>71</v>
      </c>
      <c r="Q218" s="363" t="s">
        <v>61</v>
      </c>
      <c r="R218" s="65">
        <v>142</v>
      </c>
      <c r="S218" s="363" t="s">
        <v>62</v>
      </c>
      <c r="T218" s="65">
        <v>29</v>
      </c>
      <c r="U218" s="363" t="s">
        <v>55</v>
      </c>
      <c r="V218" s="66" t="s">
        <v>120</v>
      </c>
      <c r="W218" s="463" t="s">
        <v>396</v>
      </c>
      <c r="X218" s="465">
        <v>1.1499999999999999</v>
      </c>
      <c r="Y218" s="463" t="s">
        <v>395</v>
      </c>
      <c r="Z218" s="358">
        <v>14</v>
      </c>
    </row>
    <row r="219" spans="1:26" x14ac:dyDescent="0.25">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5">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8" thickBot="1" x14ac:dyDescent="0.3">
      <c r="A221" s="379" t="s">
        <v>117</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8" thickBot="1" x14ac:dyDescent="0.3">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8" thickBot="1" x14ac:dyDescent="0.3">
      <c r="A223" s="361" t="s">
        <v>379</v>
      </c>
      <c r="B223" s="359">
        <f>ROW(A223)</f>
        <v>223</v>
      </c>
      <c r="C223" s="363" t="s">
        <v>116</v>
      </c>
      <c r="D223" s="353">
        <f>SUM(B226:Y226)</f>
        <v>109.60639850000001</v>
      </c>
      <c r="E223" s="363" t="s">
        <v>115</v>
      </c>
      <c r="F223" s="354">
        <f>D223/g/J223</f>
        <v>194.31174666489383</v>
      </c>
      <c r="G223" s="363" t="s">
        <v>57</v>
      </c>
      <c r="H223" s="64">
        <v>0.14130000000000001</v>
      </c>
      <c r="I223" s="363" t="s">
        <v>272</v>
      </c>
      <c r="J223" s="355">
        <f>H223-L223</f>
        <v>5.7500000000000009E-2</v>
      </c>
      <c r="K223" s="363" t="s">
        <v>273</v>
      </c>
      <c r="L223" s="64">
        <v>8.3799999999999999E-2</v>
      </c>
      <c r="M223" s="363" t="s">
        <v>58</v>
      </c>
      <c r="N223" s="65">
        <v>71</v>
      </c>
      <c r="O223" s="363" t="s">
        <v>60</v>
      </c>
      <c r="P223" s="65">
        <v>71</v>
      </c>
      <c r="Q223" s="363" t="s">
        <v>61</v>
      </c>
      <c r="R223" s="65">
        <v>142</v>
      </c>
      <c r="S223" s="363" t="s">
        <v>62</v>
      </c>
      <c r="T223" s="65">
        <v>29</v>
      </c>
      <c r="U223" s="363" t="s">
        <v>55</v>
      </c>
      <c r="V223" s="66" t="s">
        <v>403</v>
      </c>
      <c r="W223" s="463" t="s">
        <v>396</v>
      </c>
      <c r="X223" s="465">
        <v>0.45</v>
      </c>
      <c r="Y223" s="463" t="s">
        <v>395</v>
      </c>
      <c r="Z223" s="358">
        <v>14</v>
      </c>
    </row>
    <row r="224" spans="1:26" x14ac:dyDescent="0.25">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5">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8" thickBot="1" x14ac:dyDescent="0.3">
      <c r="A226" s="379" t="s">
        <v>117</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8" thickBot="1" x14ac:dyDescent="0.3">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8" thickBot="1" x14ac:dyDescent="0.3">
      <c r="A228" s="361" t="s">
        <v>380</v>
      </c>
      <c r="B228" s="359">
        <f>ROW(A228)</f>
        <v>228</v>
      </c>
      <c r="C228" s="363" t="s">
        <v>116</v>
      </c>
      <c r="D228" s="353">
        <f>SUM(B231:Y231)</f>
        <v>115.63</v>
      </c>
      <c r="E228" s="363" t="s">
        <v>115</v>
      </c>
      <c r="F228" s="354">
        <f>D228/g/J228</f>
        <v>199.77884897804037</v>
      </c>
      <c r="G228" s="363" t="s">
        <v>57</v>
      </c>
      <c r="H228" s="64">
        <v>0.14499999999999999</v>
      </c>
      <c r="I228" s="363" t="s">
        <v>272</v>
      </c>
      <c r="J228" s="355">
        <f>H228-L228</f>
        <v>5.8999999999999997E-2</v>
      </c>
      <c r="K228" s="363" t="s">
        <v>273</v>
      </c>
      <c r="L228" s="64">
        <v>8.5999999999999993E-2</v>
      </c>
      <c r="M228" s="363" t="s">
        <v>58</v>
      </c>
      <c r="N228" s="65">
        <v>71</v>
      </c>
      <c r="O228" s="363" t="s">
        <v>60</v>
      </c>
      <c r="P228" s="65">
        <v>71</v>
      </c>
      <c r="Q228" s="363" t="s">
        <v>61</v>
      </c>
      <c r="R228" s="65">
        <v>142</v>
      </c>
      <c r="S228" s="363" t="s">
        <v>62</v>
      </c>
      <c r="T228" s="65">
        <v>29</v>
      </c>
      <c r="U228" s="363" t="s">
        <v>55</v>
      </c>
      <c r="V228" s="66" t="s">
        <v>402</v>
      </c>
      <c r="W228" s="463" t="s">
        <v>396</v>
      </c>
      <c r="X228" s="465">
        <v>0.93</v>
      </c>
      <c r="Y228" s="463" t="s">
        <v>395</v>
      </c>
      <c r="Z228" s="358">
        <v>13</v>
      </c>
    </row>
    <row r="229" spans="1:26" x14ac:dyDescent="0.25">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5">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8" thickBot="1" x14ac:dyDescent="0.3">
      <c r="A231" s="379" t="s">
        <v>117</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8" thickBot="1" x14ac:dyDescent="0.3">
      <c r="A232" s="6" t="s">
        <v>388</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8" thickBot="1" x14ac:dyDescent="0.3">
      <c r="A233" s="361" t="s">
        <v>389</v>
      </c>
      <c r="B233" s="359">
        <f>ROW(A233)</f>
        <v>233</v>
      </c>
      <c r="C233" s="363" t="s">
        <v>116</v>
      </c>
      <c r="D233" s="353">
        <f>SUM(B236:Y236)</f>
        <v>115.63</v>
      </c>
      <c r="E233" s="363" t="s">
        <v>115</v>
      </c>
      <c r="F233" s="354">
        <f>D233/g/J233</f>
        <v>125.39310733728064</v>
      </c>
      <c r="G233" s="363" t="s">
        <v>57</v>
      </c>
      <c r="H233" s="64">
        <v>0.2</v>
      </c>
      <c r="I233" s="363" t="s">
        <v>272</v>
      </c>
      <c r="J233" s="355">
        <f>H233-L233</f>
        <v>9.4000000000000014E-2</v>
      </c>
      <c r="K233" s="363" t="s">
        <v>273</v>
      </c>
      <c r="L233" s="64">
        <v>0.106</v>
      </c>
      <c r="M233" s="363" t="s">
        <v>58</v>
      </c>
      <c r="N233" s="65">
        <v>93</v>
      </c>
      <c r="O233" s="363" t="s">
        <v>60</v>
      </c>
      <c r="P233" s="65">
        <v>93</v>
      </c>
      <c r="Q233" s="363" t="s">
        <v>61</v>
      </c>
      <c r="R233" s="65">
        <v>187</v>
      </c>
      <c r="S233" s="363" t="s">
        <v>62</v>
      </c>
      <c r="T233" s="65">
        <v>29</v>
      </c>
      <c r="U233" s="363" t="s">
        <v>55</v>
      </c>
      <c r="V233" s="66" t="s">
        <v>120</v>
      </c>
      <c r="W233" s="463" t="s">
        <v>396</v>
      </c>
      <c r="X233" s="465">
        <v>0.96</v>
      </c>
      <c r="Y233" s="463" t="s">
        <v>395</v>
      </c>
      <c r="Z233" s="358">
        <v>14</v>
      </c>
    </row>
    <row r="234" spans="1:26" x14ac:dyDescent="0.25">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5">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8" thickBot="1" x14ac:dyDescent="0.3">
      <c r="A236" s="379" t="s">
        <v>117</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8" thickBot="1" x14ac:dyDescent="0.3">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8" thickBot="1" x14ac:dyDescent="0.3">
      <c r="A238" s="361" t="s">
        <v>394</v>
      </c>
      <c r="B238" s="359">
        <f>ROW(A238)</f>
        <v>238</v>
      </c>
      <c r="C238" s="363" t="s">
        <v>116</v>
      </c>
      <c r="D238" s="353">
        <f>SUM(B241:Y241)</f>
        <v>158.04815100000002</v>
      </c>
      <c r="E238" s="363" t="s">
        <v>115</v>
      </c>
      <c r="F238" s="354">
        <v>198</v>
      </c>
      <c r="G238" s="363" t="s">
        <v>57</v>
      </c>
      <c r="H238" s="64">
        <v>0.19450000000000001</v>
      </c>
      <c r="I238" s="363" t="s">
        <v>272</v>
      </c>
      <c r="J238" s="355">
        <f>H238-L238</f>
        <v>8.9600000000000013E-2</v>
      </c>
      <c r="K238" s="363" t="s">
        <v>273</v>
      </c>
      <c r="L238" s="64">
        <v>0.10489999999999999</v>
      </c>
      <c r="M238" s="363" t="s">
        <v>58</v>
      </c>
      <c r="N238" s="65">
        <v>93</v>
      </c>
      <c r="O238" s="363" t="s">
        <v>60</v>
      </c>
      <c r="P238" s="65">
        <v>93</v>
      </c>
      <c r="Q238" s="363" t="s">
        <v>61</v>
      </c>
      <c r="R238" s="65">
        <v>187</v>
      </c>
      <c r="S238" s="363" t="s">
        <v>62</v>
      </c>
      <c r="T238" s="65">
        <v>29</v>
      </c>
      <c r="U238" s="363" t="s">
        <v>55</v>
      </c>
      <c r="V238" s="66" t="s">
        <v>120</v>
      </c>
      <c r="W238" s="463" t="s">
        <v>396</v>
      </c>
      <c r="X238" s="465">
        <v>1.27</v>
      </c>
      <c r="Y238" s="463" t="s">
        <v>395</v>
      </c>
      <c r="Z238" s="358">
        <v>14</v>
      </c>
    </row>
    <row r="239" spans="1:26" x14ac:dyDescent="0.25">
      <c r="A239" s="362" t="s">
        <v>33</v>
      </c>
      <c r="B239" s="472">
        <v>0</v>
      </c>
      <c r="C239" s="472">
        <v>4.0000000000000001E-3</v>
      </c>
      <c r="D239" s="472">
        <v>2.1999999999999999E-2</v>
      </c>
      <c r="E239" s="472">
        <v>3.9E-2</v>
      </c>
      <c r="F239" s="472">
        <v>0.122</v>
      </c>
      <c r="G239" s="472">
        <v>0.23599999999999999</v>
      </c>
      <c r="H239" s="472">
        <v>0.58899999999999997</v>
      </c>
      <c r="I239" s="472">
        <v>0.80100000000000005</v>
      </c>
      <c r="J239" s="472">
        <v>1.0680000000000001</v>
      </c>
      <c r="K239" s="472">
        <v>1.1180000000000001</v>
      </c>
      <c r="L239" s="472">
        <v>1.145</v>
      </c>
      <c r="M239" s="472">
        <v>1.1739999999999999</v>
      </c>
      <c r="N239" s="472">
        <v>1.2110000000000001</v>
      </c>
      <c r="O239" s="472">
        <v>1.2470000000000001</v>
      </c>
      <c r="P239" s="472">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5">
      <c r="A240" s="378" t="s">
        <v>34</v>
      </c>
      <c r="B240" s="472">
        <v>0</v>
      </c>
      <c r="C240" s="472">
        <v>15.683</v>
      </c>
      <c r="D240" s="472">
        <v>170.834</v>
      </c>
      <c r="E240" s="472">
        <v>116.877</v>
      </c>
      <c r="F240" s="472">
        <v>142.642</v>
      </c>
      <c r="G240" s="472">
        <v>149.73699999999999</v>
      </c>
      <c r="H240" s="472">
        <v>142.642</v>
      </c>
      <c r="I240" s="472">
        <v>131.25299999999999</v>
      </c>
      <c r="J240" s="472">
        <v>122.104</v>
      </c>
      <c r="K240" s="472">
        <v>107.91500000000001</v>
      </c>
      <c r="L240" s="472">
        <v>78.415999999999997</v>
      </c>
      <c r="M240" s="472">
        <v>43.128999999999998</v>
      </c>
      <c r="N240" s="472">
        <v>21.471</v>
      </c>
      <c r="O240" s="472">
        <v>8.7750000000000004</v>
      </c>
      <c r="P240" s="472">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8" thickBot="1" x14ac:dyDescent="0.3">
      <c r="A241" s="379" t="s">
        <v>117</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8" thickBot="1" x14ac:dyDescent="0.3">
      <c r="A242" s="6" t="s">
        <v>376</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8" thickBot="1" x14ac:dyDescent="0.3">
      <c r="A243" s="361" t="s">
        <v>381</v>
      </c>
      <c r="B243" s="359">
        <f>ROW(A243)</f>
        <v>243</v>
      </c>
      <c r="C243" s="363" t="s">
        <v>116</v>
      </c>
      <c r="D243" s="353">
        <f>SUM(B246:Y246)</f>
        <v>136.75235000000001</v>
      </c>
      <c r="E243" s="363" t="s">
        <v>115</v>
      </c>
      <c r="F243" s="354">
        <f>D243/g/J243</f>
        <v>152.35078513616639</v>
      </c>
      <c r="G243" s="363" t="s">
        <v>57</v>
      </c>
      <c r="H243" s="64">
        <v>0.21249999999999999</v>
      </c>
      <c r="I243" s="363" t="s">
        <v>272</v>
      </c>
      <c r="J243" s="355">
        <f>H243-L243</f>
        <v>9.1499999999999998E-2</v>
      </c>
      <c r="K243" s="363" t="s">
        <v>273</v>
      </c>
      <c r="L243" s="64">
        <v>0.121</v>
      </c>
      <c r="M243" s="363" t="s">
        <v>58</v>
      </c>
      <c r="N243" s="65">
        <v>63</v>
      </c>
      <c r="O243" s="363" t="s">
        <v>60</v>
      </c>
      <c r="P243" s="65">
        <v>114</v>
      </c>
      <c r="Q243" s="363" t="s">
        <v>61</v>
      </c>
      <c r="R243" s="65">
        <v>127</v>
      </c>
      <c r="S243" s="363" t="s">
        <v>62</v>
      </c>
      <c r="T243" s="65">
        <v>38</v>
      </c>
      <c r="U243" s="363" t="s">
        <v>55</v>
      </c>
      <c r="V243" s="66" t="s">
        <v>120</v>
      </c>
      <c r="W243" s="463" t="s">
        <v>396</v>
      </c>
      <c r="X243" s="465">
        <v>2.36</v>
      </c>
      <c r="Y243" s="463" t="s">
        <v>395</v>
      </c>
      <c r="Z243" s="358">
        <v>13</v>
      </c>
    </row>
    <row r="244" spans="1:26" x14ac:dyDescent="0.25">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5">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8" thickBot="1" x14ac:dyDescent="0.3">
      <c r="A246" s="379" t="s">
        <v>117</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8" thickBot="1" x14ac:dyDescent="0.3">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8" thickBot="1" x14ac:dyDescent="0.3">
      <c r="A248" s="361" t="s">
        <v>382</v>
      </c>
      <c r="B248" s="359">
        <f>ROW(A248)</f>
        <v>248</v>
      </c>
      <c r="C248" s="363" t="s">
        <v>116</v>
      </c>
      <c r="D248" s="353">
        <f>SUM(B251:Y251)</f>
        <v>127.06944999999999</v>
      </c>
      <c r="E248" s="363" t="s">
        <v>115</v>
      </c>
      <c r="F248" s="354">
        <f>D248/g/J248</f>
        <v>180.65624835614466</v>
      </c>
      <c r="G248" s="363" t="s">
        <v>57</v>
      </c>
      <c r="H248" s="64">
        <v>0.18840000000000001</v>
      </c>
      <c r="I248" s="363" t="s">
        <v>272</v>
      </c>
      <c r="J248" s="355">
        <f>H248-L248</f>
        <v>7.1700000000000014E-2</v>
      </c>
      <c r="K248" s="363" t="s">
        <v>273</v>
      </c>
      <c r="L248" s="64">
        <v>0.1167</v>
      </c>
      <c r="M248" s="363" t="s">
        <v>58</v>
      </c>
      <c r="N248" s="65">
        <v>63</v>
      </c>
      <c r="O248" s="363" t="s">
        <v>60</v>
      </c>
      <c r="P248" s="65">
        <v>114</v>
      </c>
      <c r="Q248" s="363" t="s">
        <v>61</v>
      </c>
      <c r="R248" s="65">
        <v>127</v>
      </c>
      <c r="S248" s="363" t="s">
        <v>62</v>
      </c>
      <c r="T248" s="65">
        <v>38</v>
      </c>
      <c r="U248" s="363" t="s">
        <v>55</v>
      </c>
      <c r="V248" s="66" t="s">
        <v>120</v>
      </c>
      <c r="W248" s="463" t="s">
        <v>396</v>
      </c>
      <c r="X248" s="465">
        <v>0.69</v>
      </c>
      <c r="Y248" s="463" t="s">
        <v>395</v>
      </c>
      <c r="Z248" s="358">
        <v>12</v>
      </c>
    </row>
    <row r="249" spans="1:26" x14ac:dyDescent="0.25">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5">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8" thickBot="1" x14ac:dyDescent="0.3">
      <c r="A251" s="379" t="s">
        <v>117</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8" thickBot="1" x14ac:dyDescent="0.3">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8" thickBot="1" x14ac:dyDescent="0.3">
      <c r="A253" s="361" t="s">
        <v>390</v>
      </c>
      <c r="B253" s="359">
        <f>ROW(A253)</f>
        <v>253</v>
      </c>
      <c r="C253" s="363" t="s">
        <v>116</v>
      </c>
      <c r="D253" s="353">
        <f>SUM(B256:Y256)</f>
        <v>142.7236025</v>
      </c>
      <c r="E253" s="363" t="s">
        <v>115</v>
      </c>
      <c r="F253" s="354">
        <v>208</v>
      </c>
      <c r="G253" s="363" t="s">
        <v>57</v>
      </c>
      <c r="H253" s="64">
        <v>0.19700000000000001</v>
      </c>
      <c r="I253" s="363" t="s">
        <v>272</v>
      </c>
      <c r="J253" s="355">
        <f>H253-L253</f>
        <v>7.0000000000000007E-2</v>
      </c>
      <c r="K253" s="363" t="s">
        <v>273</v>
      </c>
      <c r="L253" s="64">
        <v>0.127</v>
      </c>
      <c r="M253" s="363" t="s">
        <v>58</v>
      </c>
      <c r="N253" s="65">
        <v>63</v>
      </c>
      <c r="O253" s="363" t="s">
        <v>60</v>
      </c>
      <c r="P253" s="65">
        <v>114</v>
      </c>
      <c r="Q253" s="363" t="s">
        <v>61</v>
      </c>
      <c r="R253" s="65">
        <v>127</v>
      </c>
      <c r="S253" s="363" t="s">
        <v>62</v>
      </c>
      <c r="T253" s="65">
        <v>38</v>
      </c>
      <c r="U253" s="363" t="s">
        <v>55</v>
      </c>
      <c r="V253" s="66" t="s">
        <v>120</v>
      </c>
      <c r="W253" s="463" t="s">
        <v>396</v>
      </c>
      <c r="X253" s="465">
        <v>1.8</v>
      </c>
      <c r="Y253" s="463" t="s">
        <v>395</v>
      </c>
      <c r="Z253" s="358">
        <v>15</v>
      </c>
    </row>
    <row r="254" spans="1:26" x14ac:dyDescent="0.25">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5">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8" thickBot="1" x14ac:dyDescent="0.3">
      <c r="A256" s="379" t="s">
        <v>117</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8" thickBot="1" x14ac:dyDescent="0.3">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8" thickBot="1" x14ac:dyDescent="0.3">
      <c r="A258" s="361" t="s">
        <v>275</v>
      </c>
      <c r="B258" s="360">
        <f>ROW(A258)</f>
        <v>258</v>
      </c>
      <c r="C258" s="363" t="s">
        <v>116</v>
      </c>
      <c r="D258" s="353">
        <f>SUM(B261:Y261)</f>
        <v>33.500000000000007</v>
      </c>
      <c r="E258" s="363" t="s">
        <v>115</v>
      </c>
      <c r="F258" s="354">
        <f>D258/g/J258</f>
        <v>68.297655453618759</v>
      </c>
      <c r="G258" s="363" t="s">
        <v>57</v>
      </c>
      <c r="H258" s="64">
        <v>8.5000000000000006E-2</v>
      </c>
      <c r="I258" s="363" t="s">
        <v>272</v>
      </c>
      <c r="J258" s="355">
        <f>H258-L258</f>
        <v>0.05</v>
      </c>
      <c r="K258" s="363" t="s">
        <v>273</v>
      </c>
      <c r="L258" s="64">
        <v>3.5000000000000003E-2</v>
      </c>
      <c r="M258" s="363" t="s">
        <v>58</v>
      </c>
      <c r="N258" s="65">
        <v>20</v>
      </c>
      <c r="O258" s="363" t="s">
        <v>60</v>
      </c>
      <c r="P258" s="65">
        <v>20</v>
      </c>
      <c r="Q258" s="363" t="s">
        <v>61</v>
      </c>
      <c r="R258" s="65">
        <v>39</v>
      </c>
      <c r="S258" s="363" t="s">
        <v>62</v>
      </c>
      <c r="T258" s="65">
        <v>39</v>
      </c>
      <c r="U258" s="363" t="s">
        <v>55</v>
      </c>
      <c r="V258" s="66" t="s">
        <v>403</v>
      </c>
      <c r="W258" s="12"/>
      <c r="X258" s="12"/>
      <c r="Y258" s="12"/>
    </row>
    <row r="259" spans="1:25" x14ac:dyDescent="0.25">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5">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8" thickBot="1" x14ac:dyDescent="0.3">
      <c r="A261" s="379" t="s">
        <v>117</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8" thickBot="1" x14ac:dyDescent="0.3">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8" thickBot="1" x14ac:dyDescent="0.3">
      <c r="A263" s="361" t="s">
        <v>276</v>
      </c>
      <c r="B263" s="359">
        <f>ROW(A263)</f>
        <v>263</v>
      </c>
      <c r="C263" s="363" t="s">
        <v>116</v>
      </c>
      <c r="D263" s="353">
        <f>SUM(B266:Y266)</f>
        <v>145.46</v>
      </c>
      <c r="E263" s="363" t="s">
        <v>115</v>
      </c>
      <c r="F263" s="354">
        <f>D263/g/J263</f>
        <v>211.82466870540264</v>
      </c>
      <c r="G263" s="363" t="s">
        <v>57</v>
      </c>
      <c r="H263" s="64">
        <v>0.22</v>
      </c>
      <c r="I263" s="363" t="s">
        <v>272</v>
      </c>
      <c r="J263" s="355">
        <f>H263-L263</f>
        <v>7.0000000000000007E-2</v>
      </c>
      <c r="K263" s="363" t="s">
        <v>273</v>
      </c>
      <c r="L263" s="64">
        <v>0.15</v>
      </c>
      <c r="M263" s="363" t="s">
        <v>58</v>
      </c>
      <c r="N263" s="65">
        <v>50</v>
      </c>
      <c r="O263" s="363" t="s">
        <v>60</v>
      </c>
      <c r="P263" s="65">
        <v>55</v>
      </c>
      <c r="Q263" s="363" t="s">
        <v>61</v>
      </c>
      <c r="R263" s="65">
        <v>76</v>
      </c>
      <c r="S263" s="363" t="s">
        <v>62</v>
      </c>
      <c r="T263" s="65">
        <v>40</v>
      </c>
      <c r="U263" s="363" t="s">
        <v>55</v>
      </c>
      <c r="V263" s="66" t="s">
        <v>403</v>
      </c>
      <c r="W263" s="12"/>
      <c r="X263" s="12"/>
      <c r="Y263" s="12"/>
    </row>
    <row r="264" spans="1:25" x14ac:dyDescent="0.25">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5">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8" thickBot="1" x14ac:dyDescent="0.3">
      <c r="A266" s="379" t="s">
        <v>117</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5">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8" thickBot="1" x14ac:dyDescent="0.3">
      <c r="A268" s="6" t="s">
        <v>314</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8" thickBot="1" x14ac:dyDescent="0.3">
      <c r="A269" s="361" t="s">
        <v>35</v>
      </c>
      <c r="B269" s="359">
        <f>ROW(A269)</f>
        <v>269</v>
      </c>
      <c r="C269" s="363" t="s">
        <v>116</v>
      </c>
      <c r="D269" s="353">
        <f>SUM(B272:Y272)</f>
        <v>1071.5999999999999</v>
      </c>
      <c r="E269" s="363" t="s">
        <v>115</v>
      </c>
      <c r="F269" s="354">
        <f>D269/g/J269</f>
        <v>163.03802090465106</v>
      </c>
      <c r="G269" s="363" t="s">
        <v>57</v>
      </c>
      <c r="H269" s="64">
        <v>2.02</v>
      </c>
      <c r="I269" s="363" t="s">
        <v>272</v>
      </c>
      <c r="J269" s="355">
        <f>H269-L269</f>
        <v>0.66999999999999993</v>
      </c>
      <c r="K269" s="363" t="s">
        <v>273</v>
      </c>
      <c r="L269" s="64">
        <v>1.35</v>
      </c>
      <c r="M269" s="363" t="s">
        <v>58</v>
      </c>
      <c r="N269" s="65">
        <v>154</v>
      </c>
      <c r="O269" s="363" t="s">
        <v>60</v>
      </c>
      <c r="P269" s="65">
        <v>168</v>
      </c>
      <c r="Q269" s="363" t="s">
        <v>61</v>
      </c>
      <c r="R269" s="65">
        <v>230</v>
      </c>
      <c r="S269" s="363" t="s">
        <v>62</v>
      </c>
      <c r="T269" s="65">
        <v>67</v>
      </c>
      <c r="U269" s="363" t="s">
        <v>55</v>
      </c>
      <c r="V269" s="66" t="s">
        <v>119</v>
      </c>
      <c r="W269" s="12"/>
      <c r="X269" s="12"/>
      <c r="Y269" s="12"/>
    </row>
    <row r="270" spans="1:25" x14ac:dyDescent="0.25">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5">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8" thickBot="1" x14ac:dyDescent="0.3">
      <c r="A272" s="379" t="s">
        <v>117</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8" thickBot="1" x14ac:dyDescent="0.3">
      <c r="S273" s="12"/>
      <c r="T273" s="12"/>
      <c r="U273" s="12"/>
      <c r="V273" s="12"/>
      <c r="W273" s="12"/>
      <c r="X273" s="12"/>
      <c r="Y273" s="12"/>
    </row>
    <row r="274" spans="1:25" ht="13.8" thickBot="1" x14ac:dyDescent="0.3">
      <c r="A274" s="361" t="s">
        <v>36</v>
      </c>
      <c r="B274" s="359">
        <f>ROW(A274)</f>
        <v>274</v>
      </c>
      <c r="C274" s="363" t="s">
        <v>116</v>
      </c>
      <c r="D274" s="353">
        <f>SUM(B277:Y277)</f>
        <v>2102.35</v>
      </c>
      <c r="E274" s="363" t="s">
        <v>115</v>
      </c>
      <c r="F274" s="354">
        <f>D274/g/J274</f>
        <v>174.23319493133766</v>
      </c>
      <c r="G274" s="363" t="s">
        <v>57</v>
      </c>
      <c r="H274" s="64">
        <v>3.7</v>
      </c>
      <c r="I274" s="363" t="s">
        <v>272</v>
      </c>
      <c r="J274" s="355">
        <f>H274-L274</f>
        <v>1.23</v>
      </c>
      <c r="K274" s="363" t="s">
        <v>273</v>
      </c>
      <c r="L274" s="64">
        <v>2.4700000000000002</v>
      </c>
      <c r="M274" s="363" t="s">
        <v>58</v>
      </c>
      <c r="N274" s="65">
        <v>151</v>
      </c>
      <c r="O274" s="363" t="s">
        <v>60</v>
      </c>
      <c r="P274" s="65">
        <v>171</v>
      </c>
      <c r="Q274" s="363" t="s">
        <v>61</v>
      </c>
      <c r="R274" s="65">
        <v>247</v>
      </c>
      <c r="S274" s="363" t="s">
        <v>62</v>
      </c>
      <c r="T274" s="65">
        <v>90</v>
      </c>
      <c r="U274" s="363" t="s">
        <v>55</v>
      </c>
      <c r="V274" s="66" t="s">
        <v>119</v>
      </c>
      <c r="W274" s="12"/>
      <c r="X274" s="12"/>
      <c r="Y274" s="12"/>
    </row>
    <row r="275" spans="1:25" x14ac:dyDescent="0.25">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5">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8" thickBot="1" x14ac:dyDescent="0.3">
      <c r="A277" s="379" t="s">
        <v>117</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8" thickBot="1" x14ac:dyDescent="0.3"/>
    <row r="279" spans="1:25" ht="13.8" thickBot="1" x14ac:dyDescent="0.3">
      <c r="A279" s="361" t="s">
        <v>554</v>
      </c>
      <c r="B279" s="359">
        <f>ROW(A279)</f>
        <v>279</v>
      </c>
      <c r="C279" s="363" t="s">
        <v>116</v>
      </c>
      <c r="D279" s="353">
        <f>SUM(B282:Y282)</f>
        <v>2058.37</v>
      </c>
      <c r="E279" s="363" t="s">
        <v>115</v>
      </c>
      <c r="F279" s="354">
        <f>D279/g/J279</f>
        <v>203.12066731598335</v>
      </c>
      <c r="G279" s="363" t="s">
        <v>57</v>
      </c>
      <c r="H279" s="64">
        <v>1.6850000000000001</v>
      </c>
      <c r="I279" s="363" t="s">
        <v>272</v>
      </c>
      <c r="J279" s="355">
        <f>H279-L279</f>
        <v>1.0329999999999999</v>
      </c>
      <c r="K279" s="363" t="s">
        <v>273</v>
      </c>
      <c r="L279" s="64">
        <v>0.65200000000000002</v>
      </c>
      <c r="M279" s="363" t="s">
        <v>58</v>
      </c>
      <c r="N279" s="65">
        <v>250</v>
      </c>
      <c r="O279" s="363" t="s">
        <v>60</v>
      </c>
      <c r="P279" s="65">
        <v>240</v>
      </c>
      <c r="Q279" s="363" t="s">
        <v>61</v>
      </c>
      <c r="R279" s="65">
        <v>488</v>
      </c>
      <c r="S279" s="363" t="s">
        <v>62</v>
      </c>
      <c r="T279" s="65">
        <v>54</v>
      </c>
      <c r="U279" s="363" t="s">
        <v>55</v>
      </c>
      <c r="V279" s="66" t="s">
        <v>119</v>
      </c>
      <c r="W279" s="12"/>
      <c r="X279" s="12"/>
      <c r="Y279" s="12"/>
    </row>
    <row r="280" spans="1:25" x14ac:dyDescent="0.25">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5">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8" thickBot="1" x14ac:dyDescent="0.3">
      <c r="A282" s="380" t="s">
        <v>117</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8" thickBot="1" x14ac:dyDescent="0.3">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8" thickBot="1" x14ac:dyDescent="0.3">
      <c r="A284" s="361" t="s">
        <v>37</v>
      </c>
      <c r="B284" s="359">
        <f>ROW(A284)</f>
        <v>284</v>
      </c>
      <c r="C284" s="363" t="s">
        <v>116</v>
      </c>
      <c r="D284" s="353">
        <f>SUM(B287:Y287)</f>
        <v>2486.041999999999</v>
      </c>
      <c r="E284" s="363" t="s">
        <v>115</v>
      </c>
      <c r="F284" s="354">
        <f>D284/g/J284</f>
        <v>199.54264891200521</v>
      </c>
      <c r="G284" s="363" t="s">
        <v>57</v>
      </c>
      <c r="H284" s="64">
        <v>2.59</v>
      </c>
      <c r="I284" s="363" t="s">
        <v>272</v>
      </c>
      <c r="J284" s="355">
        <f>H284-L284</f>
        <v>1.2699999999999998</v>
      </c>
      <c r="K284" s="363" t="s">
        <v>273</v>
      </c>
      <c r="L284" s="64">
        <v>1.32</v>
      </c>
      <c r="M284" s="363" t="s">
        <v>58</v>
      </c>
      <c r="N284" s="65">
        <v>175</v>
      </c>
      <c r="O284" s="363" t="s">
        <v>60</v>
      </c>
      <c r="P284" s="65">
        <v>175</v>
      </c>
      <c r="Q284" s="363" t="s">
        <v>61</v>
      </c>
      <c r="R284" s="65">
        <v>350</v>
      </c>
      <c r="S284" s="363" t="s">
        <v>62</v>
      </c>
      <c r="T284" s="65">
        <v>75</v>
      </c>
      <c r="U284" s="363" t="s">
        <v>55</v>
      </c>
      <c r="V284" s="66" t="s">
        <v>119</v>
      </c>
      <c r="W284" s="12"/>
      <c r="X284" s="12"/>
      <c r="Y284" s="12"/>
    </row>
    <row r="285" spans="1:25" x14ac:dyDescent="0.25">
      <c r="A285" s="362" t="s">
        <v>33</v>
      </c>
      <c r="B285" s="370">
        <v>0</v>
      </c>
      <c r="C285" s="371">
        <v>0.04</v>
      </c>
      <c r="D285" s="371">
        <v>7.0000000000000007E-2</v>
      </c>
      <c r="E285" s="371">
        <v>0.1</v>
      </c>
      <c r="F285" s="371">
        <v>0.21</v>
      </c>
      <c r="G285" s="371">
        <v>0.35</v>
      </c>
      <c r="H285" s="371">
        <v>0.53</v>
      </c>
      <c r="I285" s="371">
        <v>0.82</v>
      </c>
      <c r="J285" s="371">
        <v>1.18</v>
      </c>
      <c r="K285" s="371">
        <v>1.72</v>
      </c>
      <c r="L285" s="371">
        <v>2.15</v>
      </c>
      <c r="M285" s="371">
        <v>2.39</v>
      </c>
      <c r="N285" s="371">
        <v>2.9</v>
      </c>
      <c r="O285" s="371">
        <v>3.07</v>
      </c>
      <c r="P285" s="371">
        <v>3.56</v>
      </c>
      <c r="Q285" s="371">
        <v>3.98</v>
      </c>
      <c r="R285" s="371">
        <v>4.32</v>
      </c>
      <c r="S285" s="371">
        <v>4.4800000000000004</v>
      </c>
      <c r="T285" s="371">
        <v>4.5999999999999996</v>
      </c>
      <c r="U285" s="371">
        <v>4.6500000000000004</v>
      </c>
      <c r="V285" s="371">
        <v>4.8</v>
      </c>
      <c r="W285" s="371">
        <v>4.83</v>
      </c>
      <c r="X285" s="371">
        <v>4.84</v>
      </c>
      <c r="Y285" s="381">
        <v>1000</v>
      </c>
    </row>
    <row r="286" spans="1:25" x14ac:dyDescent="0.25">
      <c r="A286" s="378" t="s">
        <v>34</v>
      </c>
      <c r="B286" s="372">
        <v>0</v>
      </c>
      <c r="C286" s="373">
        <v>394.4</v>
      </c>
      <c r="D286" s="373">
        <v>617.70000000000005</v>
      </c>
      <c r="E286" s="373">
        <v>645.1</v>
      </c>
      <c r="F286" s="373">
        <v>658.2</v>
      </c>
      <c r="G286" s="373">
        <v>669.2</v>
      </c>
      <c r="H286" s="373">
        <v>667.7</v>
      </c>
      <c r="I286" s="373">
        <v>661.6</v>
      </c>
      <c r="J286" s="373">
        <v>626.9</v>
      </c>
      <c r="K286" s="373">
        <v>588.5</v>
      </c>
      <c r="L286" s="373">
        <v>557.70000000000005</v>
      </c>
      <c r="M286" s="373">
        <v>542.29999999999995</v>
      </c>
      <c r="N286" s="373">
        <v>492.9</v>
      </c>
      <c r="O286" s="373">
        <v>470.3</v>
      </c>
      <c r="P286" s="373">
        <v>426.8</v>
      </c>
      <c r="Q286" s="373">
        <v>399</v>
      </c>
      <c r="R286" s="373">
        <v>394</v>
      </c>
      <c r="S286" s="373">
        <v>380.6</v>
      </c>
      <c r="T286" s="373">
        <v>364.2</v>
      </c>
      <c r="U286" s="373">
        <v>290.89999999999998</v>
      </c>
      <c r="V286" s="373">
        <v>91.2</v>
      </c>
      <c r="W286" s="373">
        <v>45.8</v>
      </c>
      <c r="X286" s="373">
        <v>0</v>
      </c>
      <c r="Y286" s="382">
        <v>0</v>
      </c>
    </row>
    <row r="287" spans="1:25" ht="13.8" thickBot="1" x14ac:dyDescent="0.3">
      <c r="A287" s="379" t="s">
        <v>117</v>
      </c>
      <c r="B287" s="374">
        <f t="shared" ref="B287:V287" si="96">(C286+B286)*(C285-B285)/2</f>
        <v>7.8879999999999999</v>
      </c>
      <c r="C287" s="375">
        <f t="shared" si="96"/>
        <v>15.181500000000003</v>
      </c>
      <c r="D287" s="375">
        <f t="shared" si="96"/>
        <v>18.942000000000004</v>
      </c>
      <c r="E287" s="375">
        <f t="shared" si="96"/>
        <v>71.6815</v>
      </c>
      <c r="F287" s="375">
        <f t="shared" si="96"/>
        <v>92.917999999999992</v>
      </c>
      <c r="G287" s="375">
        <f t="shared" si="96"/>
        <v>120.32100000000004</v>
      </c>
      <c r="H287" s="375">
        <f t="shared" si="96"/>
        <v>192.74849999999998</v>
      </c>
      <c r="I287" s="375">
        <f t="shared" si="96"/>
        <v>231.92999999999998</v>
      </c>
      <c r="J287" s="375">
        <f>(K286+J286)*(K285-J285)/2</f>
        <v>328.15800000000007</v>
      </c>
      <c r="K287" s="375">
        <f t="shared" si="96"/>
        <v>246.43299999999996</v>
      </c>
      <c r="L287" s="375">
        <f t="shared" si="96"/>
        <v>132.00000000000011</v>
      </c>
      <c r="M287" s="375">
        <f t="shared" si="96"/>
        <v>263.97599999999983</v>
      </c>
      <c r="N287" s="375">
        <f t="shared" si="96"/>
        <v>81.871999999999971</v>
      </c>
      <c r="O287" s="375">
        <f t="shared" si="96"/>
        <v>219.78950000000009</v>
      </c>
      <c r="P287" s="375">
        <f t="shared" si="96"/>
        <v>173.41799999999995</v>
      </c>
      <c r="Q287" s="375">
        <f t="shared" si="96"/>
        <v>134.81000000000012</v>
      </c>
      <c r="R287" s="375">
        <f t="shared" si="96"/>
        <v>61.96800000000006</v>
      </c>
      <c r="S287" s="375">
        <f>(T286+S286)*(T285-S285)/2</f>
        <v>44.687999999999704</v>
      </c>
      <c r="T287" s="375">
        <f t="shared" si="96"/>
        <v>16.377500000000232</v>
      </c>
      <c r="U287" s="375">
        <f t="shared" si="96"/>
        <v>28.657499999999896</v>
      </c>
      <c r="V287" s="375">
        <f t="shared" si="96"/>
        <v>2.055000000000017</v>
      </c>
      <c r="W287" s="375">
        <f>(X286+W286)*(X285-W285)/2</f>
        <v>0.2289999999999951</v>
      </c>
      <c r="X287" s="375">
        <f>(Y286+X286)*(Y285-X285)/2</f>
        <v>0</v>
      </c>
      <c r="Y287" s="369"/>
    </row>
    <row r="288" spans="1:25" ht="13.8" thickBot="1" x14ac:dyDescent="0.3">
      <c r="A288" s="12"/>
      <c r="L288" s="12"/>
      <c r="M288" s="12"/>
      <c r="N288" s="12"/>
      <c r="O288" s="12"/>
      <c r="P288" s="12"/>
      <c r="Q288" s="12"/>
      <c r="R288" s="12"/>
      <c r="S288" s="12"/>
      <c r="T288" s="12"/>
      <c r="U288" s="12"/>
      <c r="V288" s="12"/>
      <c r="W288" s="12"/>
      <c r="X288" s="12"/>
      <c r="Y288" s="12"/>
    </row>
    <row r="289" spans="1:25" ht="13.8" thickBot="1" x14ac:dyDescent="0.3">
      <c r="A289" s="361" t="s">
        <v>555</v>
      </c>
      <c r="B289" s="359">
        <f>ROW(A289)</f>
        <v>289</v>
      </c>
      <c r="C289" s="363" t="s">
        <v>116</v>
      </c>
      <c r="D289" s="353">
        <f>SUM(B292:Y292)</f>
        <v>3739.0284999999994</v>
      </c>
      <c r="E289" s="363" t="s">
        <v>115</v>
      </c>
      <c r="F289" s="354">
        <f>D289/g/J289</f>
        <v>203.4941790441234</v>
      </c>
      <c r="G289" s="363" t="s">
        <v>57</v>
      </c>
      <c r="H289" s="64">
        <v>3.5110000000000001</v>
      </c>
      <c r="I289" s="363" t="s">
        <v>272</v>
      </c>
      <c r="J289" s="355">
        <f>H289-L289</f>
        <v>1.8730000000000002</v>
      </c>
      <c r="K289" s="363" t="s">
        <v>273</v>
      </c>
      <c r="L289" s="64">
        <v>1.6379999999999999</v>
      </c>
      <c r="M289" s="363" t="s">
        <v>58</v>
      </c>
      <c r="N289" s="65">
        <v>243</v>
      </c>
      <c r="O289" s="363" t="s">
        <v>60</v>
      </c>
      <c r="P289" s="65">
        <v>243</v>
      </c>
      <c r="Q289" s="363" t="s">
        <v>61</v>
      </c>
      <c r="R289" s="65">
        <v>486</v>
      </c>
      <c r="S289" s="363" t="s">
        <v>62</v>
      </c>
      <c r="T289" s="65">
        <v>75</v>
      </c>
      <c r="U289" s="363" t="s">
        <v>55</v>
      </c>
      <c r="V289" s="66" t="s">
        <v>119</v>
      </c>
      <c r="W289" s="12"/>
      <c r="X289" s="12"/>
      <c r="Y289" s="12"/>
    </row>
    <row r="290" spans="1:25" x14ac:dyDescent="0.25">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5">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8" thickBot="1" x14ac:dyDescent="0.3">
      <c r="A292" s="379" t="s">
        <v>117</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8" thickBot="1" x14ac:dyDescent="0.3">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8" thickBot="1" x14ac:dyDescent="0.3">
      <c r="A294" s="361" t="s">
        <v>319</v>
      </c>
      <c r="B294" s="359">
        <f>ROW(A294)</f>
        <v>294</v>
      </c>
      <c r="C294" s="363" t="s">
        <v>116</v>
      </c>
      <c r="D294" s="353">
        <f>SUM(B297:Y297)</f>
        <v>5322.2813159999996</v>
      </c>
      <c r="E294" s="363" t="s">
        <v>115</v>
      </c>
      <c r="F294" s="354">
        <f>D294/g/J294</f>
        <v>210.04116210318938</v>
      </c>
      <c r="G294" s="363" t="s">
        <v>57</v>
      </c>
      <c r="H294" s="64">
        <v>4.9770000000000003</v>
      </c>
      <c r="I294" s="363" t="s">
        <v>272</v>
      </c>
      <c r="J294" s="355">
        <f>H294-L294</f>
        <v>2.5830000000000002</v>
      </c>
      <c r="K294" s="363" t="s">
        <v>273</v>
      </c>
      <c r="L294" s="64">
        <v>2.3940000000000001</v>
      </c>
      <c r="M294" s="363" t="s">
        <v>58</v>
      </c>
      <c r="N294" s="65">
        <v>197</v>
      </c>
      <c r="O294" s="363" t="s">
        <v>60</v>
      </c>
      <c r="P294" s="65">
        <v>197</v>
      </c>
      <c r="Q294" s="363" t="s">
        <v>61</v>
      </c>
      <c r="R294" s="65">
        <v>394</v>
      </c>
      <c r="S294" s="363" t="s">
        <v>62</v>
      </c>
      <c r="T294" s="65">
        <v>98</v>
      </c>
      <c r="U294" s="363" t="s">
        <v>55</v>
      </c>
      <c r="V294" s="66" t="s">
        <v>119</v>
      </c>
      <c r="W294" s="12"/>
      <c r="X294" s="12"/>
      <c r="Y294" s="12"/>
    </row>
    <row r="295" spans="1:25" x14ac:dyDescent="0.25">
      <c r="A295" s="362" t="s">
        <v>33</v>
      </c>
      <c r="B295" s="370">
        <v>0</v>
      </c>
      <c r="C295" s="371">
        <v>3.6999999999999998E-2</v>
      </c>
      <c r="D295" s="371">
        <v>0.121</v>
      </c>
      <c r="E295" s="371">
        <v>0.32800000000000001</v>
      </c>
      <c r="F295" s="371">
        <v>1.2989999999999999</v>
      </c>
      <c r="G295" s="371">
        <v>1.5449999999999999</v>
      </c>
      <c r="H295" s="371">
        <v>1.7969999999999999</v>
      </c>
      <c r="I295" s="371">
        <v>1.998</v>
      </c>
      <c r="J295" s="371">
        <v>2.2080000000000002</v>
      </c>
      <c r="K295" s="371">
        <v>2.4620000000000002</v>
      </c>
      <c r="L295" s="371">
        <v>2.782</v>
      </c>
      <c r="M295" s="371">
        <v>3.0859999999999999</v>
      </c>
      <c r="N295" s="371">
        <v>3.2130000000000001</v>
      </c>
      <c r="O295" s="371">
        <v>3.258</v>
      </c>
      <c r="P295" s="371">
        <v>3.3279999999999998</v>
      </c>
      <c r="Q295" s="371">
        <v>3.383</v>
      </c>
      <c r="R295" s="371">
        <v>3.4279999999999999</v>
      </c>
      <c r="S295" s="371">
        <v>3.5</v>
      </c>
      <c r="T295" s="371">
        <v>3.5</v>
      </c>
      <c r="U295" s="371">
        <v>3.5</v>
      </c>
      <c r="V295" s="371">
        <v>3.5</v>
      </c>
      <c r="W295" s="371">
        <v>3.5</v>
      </c>
      <c r="X295" s="371">
        <v>3.5</v>
      </c>
      <c r="Y295" s="381">
        <v>1000</v>
      </c>
    </row>
    <row r="296" spans="1:25" x14ac:dyDescent="0.25">
      <c r="A296" s="378" t="s">
        <v>34</v>
      </c>
      <c r="B296" s="372">
        <v>0</v>
      </c>
      <c r="C296" s="373">
        <v>1474.12</v>
      </c>
      <c r="D296" s="373">
        <v>1436.5</v>
      </c>
      <c r="E296" s="373">
        <v>1523.49</v>
      </c>
      <c r="F296" s="373">
        <v>1775.06</v>
      </c>
      <c r="G296" s="373">
        <v>1807.97</v>
      </c>
      <c r="H296" s="373">
        <v>1807.97</v>
      </c>
      <c r="I296" s="373">
        <v>1786.81</v>
      </c>
      <c r="J296" s="373">
        <v>1737.44</v>
      </c>
      <c r="K296" s="373">
        <v>1572.86</v>
      </c>
      <c r="L296" s="373">
        <v>1415.34</v>
      </c>
      <c r="M296" s="373">
        <v>1309.55</v>
      </c>
      <c r="N296" s="373">
        <v>1290.74</v>
      </c>
      <c r="O296" s="373">
        <v>1309.55</v>
      </c>
      <c r="P296" s="373">
        <v>679.45899999999995</v>
      </c>
      <c r="Q296" s="373">
        <v>173.97900000000001</v>
      </c>
      <c r="R296" s="373">
        <v>68.180999999999997</v>
      </c>
      <c r="S296" s="373">
        <v>0</v>
      </c>
      <c r="T296" s="373">
        <v>0</v>
      </c>
      <c r="U296" s="373">
        <v>0</v>
      </c>
      <c r="V296" s="373">
        <v>0</v>
      </c>
      <c r="W296" s="373">
        <v>0</v>
      </c>
      <c r="X296" s="373">
        <v>0</v>
      </c>
      <c r="Y296" s="382">
        <v>0</v>
      </c>
    </row>
    <row r="297" spans="1:25" ht="13.8" thickBot="1" x14ac:dyDescent="0.3">
      <c r="A297" s="379" t="s">
        <v>117</v>
      </c>
      <c r="B297" s="374">
        <f t="shared" ref="B297:X297" si="98">(C296+B296)*(C295-B295)/2</f>
        <v>27.271219999999996</v>
      </c>
      <c r="C297" s="375">
        <f t="shared" si="98"/>
        <v>122.24603999999998</v>
      </c>
      <c r="D297" s="375">
        <f t="shared" si="98"/>
        <v>306.35896500000001</v>
      </c>
      <c r="E297" s="375">
        <f t="shared" si="98"/>
        <v>1601.446025</v>
      </c>
      <c r="F297" s="375">
        <f t="shared" si="98"/>
        <v>440.71268999999995</v>
      </c>
      <c r="G297" s="375">
        <f t="shared" si="98"/>
        <v>455.60844000000003</v>
      </c>
      <c r="H297" s="375">
        <f t="shared" si="98"/>
        <v>361.27539000000007</v>
      </c>
      <c r="I297" s="375">
        <f t="shared" si="98"/>
        <v>370.04625000000033</v>
      </c>
      <c r="J297" s="375">
        <f t="shared" si="98"/>
        <v>420.40810000000005</v>
      </c>
      <c r="K297" s="375">
        <f t="shared" si="98"/>
        <v>478.11199999999974</v>
      </c>
      <c r="L297" s="375">
        <f t="shared" si="98"/>
        <v>414.18327999999974</v>
      </c>
      <c r="M297" s="375">
        <f t="shared" si="98"/>
        <v>165.11841500000028</v>
      </c>
      <c r="N297" s="375">
        <f t="shared" si="98"/>
        <v>58.506524999999904</v>
      </c>
      <c r="O297" s="375">
        <f t="shared" si="98"/>
        <v>69.615314999999839</v>
      </c>
      <c r="P297" s="375">
        <f t="shared" si="98"/>
        <v>23.469545000000068</v>
      </c>
      <c r="Q297" s="375">
        <f t="shared" si="98"/>
        <v>5.4485999999999919</v>
      </c>
      <c r="R297" s="375">
        <f t="shared" si="98"/>
        <v>2.4545160000000021</v>
      </c>
      <c r="S297" s="375">
        <f t="shared" si="98"/>
        <v>0</v>
      </c>
      <c r="T297" s="375">
        <f t="shared" si="98"/>
        <v>0</v>
      </c>
      <c r="U297" s="375">
        <f t="shared" si="98"/>
        <v>0</v>
      </c>
      <c r="V297" s="375">
        <f t="shared" si="98"/>
        <v>0</v>
      </c>
      <c r="W297" s="375">
        <f t="shared" si="98"/>
        <v>0</v>
      </c>
      <c r="X297" s="375">
        <f t="shared" si="98"/>
        <v>0</v>
      </c>
      <c r="Y297" s="369"/>
    </row>
    <row r="298" spans="1:25" ht="13.8" thickBot="1" x14ac:dyDescent="0.3">
      <c r="A298" s="12"/>
      <c r="L298" s="12"/>
      <c r="M298" s="12"/>
      <c r="N298" s="12"/>
      <c r="O298" s="12"/>
      <c r="P298" s="12"/>
      <c r="Q298" s="12"/>
      <c r="R298" s="12"/>
      <c r="S298" s="12"/>
      <c r="T298" s="12"/>
      <c r="U298" s="12"/>
      <c r="V298" s="12"/>
      <c r="W298" s="12"/>
      <c r="X298" s="12"/>
      <c r="Y298" s="12"/>
    </row>
    <row r="299" spans="1:25" ht="13.8" thickBot="1" x14ac:dyDescent="0.3">
      <c r="A299" s="361" t="s">
        <v>320</v>
      </c>
      <c r="B299" s="359">
        <f>ROW(A299)</f>
        <v>299</v>
      </c>
      <c r="C299" s="363" t="s">
        <v>116</v>
      </c>
      <c r="D299" s="353">
        <f>SUM(B302:Y302)</f>
        <v>7412.4371409999985</v>
      </c>
      <c r="E299" s="363" t="s">
        <v>115</v>
      </c>
      <c r="F299" s="354">
        <f>D299/g/J299</f>
        <v>223.28608637999045</v>
      </c>
      <c r="G299" s="363" t="s">
        <v>57</v>
      </c>
      <c r="H299" s="64">
        <v>6.25</v>
      </c>
      <c r="I299" s="363" t="s">
        <v>272</v>
      </c>
      <c r="J299" s="355">
        <f>H299-L299</f>
        <v>3.3839999999999999</v>
      </c>
      <c r="K299" s="363" t="s">
        <v>273</v>
      </c>
      <c r="L299" s="64">
        <v>2.8660000000000001</v>
      </c>
      <c r="M299" s="363" t="s">
        <v>58</v>
      </c>
      <c r="N299" s="65">
        <v>290</v>
      </c>
      <c r="O299" s="363" t="s">
        <v>60</v>
      </c>
      <c r="P299" s="65">
        <v>290</v>
      </c>
      <c r="Q299" s="363" t="s">
        <v>61</v>
      </c>
      <c r="R299" s="65">
        <v>579</v>
      </c>
      <c r="S299" s="363" t="s">
        <v>62</v>
      </c>
      <c r="T299" s="65">
        <v>98</v>
      </c>
      <c r="U299" s="363" t="s">
        <v>55</v>
      </c>
      <c r="V299" s="66" t="s">
        <v>119</v>
      </c>
      <c r="W299" s="12"/>
      <c r="X299" s="12"/>
      <c r="Y299" s="12"/>
    </row>
    <row r="300" spans="1:25" x14ac:dyDescent="0.25">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5">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8" thickBot="1" x14ac:dyDescent="0.3">
      <c r="A302" s="379" t="s">
        <v>117</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8" thickBot="1" x14ac:dyDescent="0.3">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8" thickBot="1" x14ac:dyDescent="0.3">
      <c r="A304" s="361" t="s">
        <v>556</v>
      </c>
      <c r="B304" s="359">
        <f>ROW(A304)</f>
        <v>304</v>
      </c>
      <c r="C304" s="363" t="s">
        <v>116</v>
      </c>
      <c r="D304" s="353">
        <f>SUM(B307:Y307)</f>
        <v>17734.977350500001</v>
      </c>
      <c r="E304" s="363" t="s">
        <v>115</v>
      </c>
      <c r="F304" s="354">
        <f>D304/g/J304</f>
        <v>192.73420306179892</v>
      </c>
      <c r="G304" s="363" t="s">
        <v>57</v>
      </c>
      <c r="H304" s="64">
        <v>14.747999999999999</v>
      </c>
      <c r="I304" s="363" t="s">
        <v>272</v>
      </c>
      <c r="J304" s="355">
        <f>H304-L304</f>
        <v>9.379999999999999</v>
      </c>
      <c r="K304" s="363" t="s">
        <v>273</v>
      </c>
      <c r="L304" s="64">
        <v>5.3680000000000003</v>
      </c>
      <c r="M304" s="363" t="s">
        <v>58</v>
      </c>
      <c r="N304" s="65">
        <v>500</v>
      </c>
      <c r="O304" s="363" t="s">
        <v>60</v>
      </c>
      <c r="P304" s="65">
        <v>500</v>
      </c>
      <c r="Q304" s="363" t="s">
        <v>61</v>
      </c>
      <c r="R304" s="65">
        <v>1046</v>
      </c>
      <c r="S304" s="363" t="s">
        <v>62</v>
      </c>
      <c r="T304" s="65">
        <v>98</v>
      </c>
      <c r="U304" s="363" t="s">
        <v>55</v>
      </c>
      <c r="V304" s="66" t="s">
        <v>119</v>
      </c>
      <c r="W304" s="12"/>
      <c r="X304" s="12"/>
      <c r="Y304" s="12"/>
    </row>
    <row r="305" spans="1:25" x14ac:dyDescent="0.25">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5">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8" thickBot="1" x14ac:dyDescent="0.3">
      <c r="A307" s="379" t="s">
        <v>117</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8" thickBot="1" x14ac:dyDescent="0.3">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8" thickBot="1" x14ac:dyDescent="0.3">
      <c r="A309" s="361" t="s">
        <v>45</v>
      </c>
      <c r="B309" s="359">
        <f>ROW(A309)</f>
        <v>309</v>
      </c>
      <c r="C309" s="363" t="s">
        <v>116</v>
      </c>
      <c r="D309" s="353">
        <f>SUM(B312:Y312)</f>
        <v>1E-3</v>
      </c>
      <c r="E309" s="363" t="s">
        <v>115</v>
      </c>
      <c r="F309" s="354">
        <f>D309/g/J309</f>
        <v>1.019367991845056</v>
      </c>
      <c r="G309" s="363" t="s">
        <v>57</v>
      </c>
      <c r="H309" s="64">
        <v>1E-4</v>
      </c>
      <c r="I309" s="363" t="s">
        <v>272</v>
      </c>
      <c r="J309" s="355">
        <f>H309-L309</f>
        <v>1E-4</v>
      </c>
      <c r="K309" s="363" t="s">
        <v>273</v>
      </c>
      <c r="L309" s="64">
        <v>0</v>
      </c>
      <c r="M309" s="363" t="s">
        <v>58</v>
      </c>
      <c r="N309" s="65">
        <v>0</v>
      </c>
      <c r="O309" s="363" t="s">
        <v>60</v>
      </c>
      <c r="P309" s="65">
        <v>0</v>
      </c>
      <c r="Q309" s="363" t="s">
        <v>61</v>
      </c>
      <c r="R309" s="65">
        <v>0</v>
      </c>
      <c r="S309" s="363" t="s">
        <v>62</v>
      </c>
      <c r="T309" s="65">
        <v>0</v>
      </c>
      <c r="U309" s="363" t="s">
        <v>55</v>
      </c>
      <c r="V309" s="66" t="s">
        <v>119</v>
      </c>
      <c r="W309" s="12"/>
      <c r="X309" s="12"/>
      <c r="Y309" s="12"/>
    </row>
    <row r="310" spans="1:25" x14ac:dyDescent="0.25">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5">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8" thickBot="1" x14ac:dyDescent="0.3">
      <c r="A312" s="379" t="s">
        <v>117</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5">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5">
      <c r="A316" s="397" t="str">
        <f>IF(Lang="Français","Liste des propu affichés :","Motor list (shown):")</f>
        <v>Liste des propu affichés :</v>
      </c>
      <c r="C316" s="643" t="s">
        <v>277</v>
      </c>
      <c r="D316" s="644"/>
      <c r="F316" s="643" t="s">
        <v>182</v>
      </c>
      <c r="G316" s="644"/>
      <c r="H316" s="12"/>
      <c r="I316" s="643" t="s">
        <v>399</v>
      </c>
      <c r="J316" s="644"/>
      <c r="K316" s="12"/>
      <c r="L316" s="643" t="s">
        <v>183</v>
      </c>
      <c r="M316" s="644"/>
      <c r="O316" s="643" t="s">
        <v>398</v>
      </c>
      <c r="P316" s="644"/>
      <c r="R316" s="643" t="s">
        <v>119</v>
      </c>
      <c r="S316" s="644"/>
    </row>
    <row r="317" spans="1:25" x14ac:dyDescent="0.25">
      <c r="A317" s="398" t="str">
        <f t="array" ref="A317:A346">IF(RIGHT(Type_fusee,1)=".",Liste_fusex, IF(LEFT(Type_fusee,4)="Mini",Liste_minif, IF(LEFT(Type_fusee,5)="Micro",Liste_µfu, IF(RIGHT(Type_fusee,1)=" ",Liste_H2O, IF(LEFT(Type_fusee,1)="R",Liste_RC, IF(LEFT(Type_fusee,1)=",",Liste_minifT))))))</f>
        <v>Barasinga (Pro54-5G C)</v>
      </c>
      <c r="C317" s="635" t="str">
        <f>A26</f>
        <v>H2O 1.5L 300g 6bar</v>
      </c>
      <c r="D317" s="636"/>
      <c r="F317" s="635" t="str">
        <f>A67</f>
        <v>µ-propu A8-3</v>
      </c>
      <c r="G317" s="636"/>
      <c r="H317" s="473"/>
      <c r="I317" s="633" t="str">
        <f>A148</f>
        <v>p29-1G 56F31</v>
      </c>
      <c r="J317" s="634"/>
      <c r="K317" s="473"/>
      <c r="L317" s="633" t="str">
        <f>A148</f>
        <v>p29-1G 56F31</v>
      </c>
      <c r="M317" s="634"/>
      <c r="O317" s="635" t="str">
        <f>A108</f>
        <v>p24-1G 24E22</v>
      </c>
      <c r="P317" s="636"/>
      <c r="R317" s="635" t="str">
        <f>A279</f>
        <v>Barasinga (Pro54-5G C)</v>
      </c>
      <c r="S317" s="636"/>
    </row>
    <row r="318" spans="1:25" x14ac:dyDescent="0.25">
      <c r="A318" s="398" t="str">
        <v>Orignal (Pro75-3G C)</v>
      </c>
      <c r="C318" s="635" t="str">
        <f>A31</f>
        <v>H2O 1.5L 450g 6bar</v>
      </c>
      <c r="D318" s="636"/>
      <c r="F318" s="635" t="str">
        <f>A72</f>
        <v>µ-propu B4-4</v>
      </c>
      <c r="G318" s="636"/>
      <c r="H318" s="473"/>
      <c r="I318" s="633" t="str">
        <f>A153</f>
        <v>p29-1G 56F120</v>
      </c>
      <c r="J318" s="634"/>
      <c r="K318" s="473"/>
      <c r="L318" s="633" t="str">
        <f>A153</f>
        <v>p29-1G 56F120</v>
      </c>
      <c r="M318" s="634"/>
      <c r="O318" s="635" t="str">
        <f>A113</f>
        <v>p24-1G 25E75 (Rufina)</v>
      </c>
      <c r="P318" s="636"/>
      <c r="R318" s="635" t="str">
        <f>A289</f>
        <v>Orignal (Pro75-3G C)</v>
      </c>
      <c r="S318" s="636"/>
    </row>
    <row r="319" spans="1:25" x14ac:dyDescent="0.25">
      <c r="A319" s="398" t="str">
        <v xml:space="preserve"> </v>
      </c>
      <c r="C319" s="635" t="str">
        <f>A36</f>
        <v>H2O 1.5L 600g 6bar</v>
      </c>
      <c r="D319" s="636"/>
      <c r="F319" s="635" t="str">
        <f>A77</f>
        <v>µ-propu C6-3</v>
      </c>
      <c r="G319" s="636"/>
      <c r="H319" s="473"/>
      <c r="I319" s="633" t="str">
        <f>A158</f>
        <v>p29-1G 57F59</v>
      </c>
      <c r="J319" s="634"/>
      <c r="K319" s="473"/>
      <c r="L319" s="633" t="str">
        <f>A158</f>
        <v>p29-1G 57F59</v>
      </c>
      <c r="M319" s="634"/>
      <c r="O319" s="635" t="str">
        <f>A118</f>
        <v>p24-1G 26E31</v>
      </c>
      <c r="P319" s="636"/>
      <c r="R319" s="635" t="s">
        <v>184</v>
      </c>
      <c r="S319" s="636"/>
    </row>
    <row r="320" spans="1:25" x14ac:dyDescent="0.25">
      <c r="A320" s="398" t="str">
        <v xml:space="preserve"> </v>
      </c>
      <c r="C320" s="635" t="str">
        <f>A41</f>
        <v>H2O 1.5L 750g 6bar</v>
      </c>
      <c r="D320" s="636"/>
      <c r="F320" s="635" t="str">
        <f>A82</f>
        <v>µ-propu C6-3 x2</v>
      </c>
      <c r="G320" s="636"/>
      <c r="H320" s="473"/>
      <c r="I320" s="633" t="str">
        <f>A183</f>
        <v>p24-3G 74F85</v>
      </c>
      <c r="J320" s="634"/>
      <c r="K320" s="473"/>
      <c r="L320" s="633" t="str">
        <f>A228</f>
        <v>p29-2G 116G126</v>
      </c>
      <c r="M320" s="634"/>
      <c r="O320" s="635" t="str">
        <f>A123</f>
        <v>p24-2G 50E51</v>
      </c>
      <c r="P320" s="636"/>
      <c r="R320" s="635" t="s">
        <v>184</v>
      </c>
      <c r="S320" s="636"/>
    </row>
    <row r="321" spans="1:19" x14ac:dyDescent="0.25">
      <c r="A321" s="398" t="str">
        <v xml:space="preserve"> </v>
      </c>
      <c r="C321" s="635" t="str">
        <f>A46</f>
        <v>H2O 2.0L 400g 6bar</v>
      </c>
      <c r="D321" s="636"/>
      <c r="F321" s="635" t="str">
        <f>A87</f>
        <v>µ-propu C6-3 x3</v>
      </c>
      <c r="G321" s="636"/>
      <c r="H321" s="473"/>
      <c r="I321" s="633" t="str">
        <f>A188</f>
        <v>p24-3G 75F51</v>
      </c>
      <c r="J321" s="634"/>
      <c r="K321" s="473"/>
      <c r="L321" s="633" t="s">
        <v>184</v>
      </c>
      <c r="M321" s="634"/>
      <c r="O321" s="635" t="str">
        <f>A128</f>
        <v>p24-1G 53E70</v>
      </c>
      <c r="P321" s="636"/>
      <c r="R321" s="635" t="s">
        <v>184</v>
      </c>
      <c r="S321" s="636"/>
    </row>
    <row r="322" spans="1:19" x14ac:dyDescent="0.25">
      <c r="A322" s="398" t="str">
        <v xml:space="preserve"> </v>
      </c>
      <c r="C322" s="635" t="str">
        <f>A51</f>
        <v>H2O 2.0L 600g 6bar</v>
      </c>
      <c r="D322" s="636"/>
      <c r="F322" s="635" t="s">
        <v>184</v>
      </c>
      <c r="G322" s="636"/>
      <c r="H322" s="473"/>
      <c r="I322" s="633" t="s">
        <v>184</v>
      </c>
      <c r="J322" s="634"/>
      <c r="K322" s="473"/>
      <c r="L322" s="635" t="str">
        <f>A198</f>
        <v>Pandora (Pro24-6G BS)</v>
      </c>
      <c r="M322" s="636"/>
      <c r="O322" s="635" t="str">
        <f>A133</f>
        <v>p29-1G 41F36</v>
      </c>
      <c r="P322" s="636"/>
      <c r="R322" s="635" t="s">
        <v>184</v>
      </c>
      <c r="S322" s="636"/>
    </row>
    <row r="323" spans="1:19" x14ac:dyDescent="0.25">
      <c r="A323" s="398" t="str">
        <v xml:space="preserve"> </v>
      </c>
      <c r="C323" s="635" t="str">
        <f>A56</f>
        <v>H2O 2.0L 800g 6bar</v>
      </c>
      <c r="D323" s="636"/>
      <c r="F323" s="635" t="s">
        <v>184</v>
      </c>
      <c r="G323" s="636"/>
      <c r="H323" s="473"/>
      <c r="I323" s="633" t="s">
        <v>184</v>
      </c>
      <c r="J323" s="634"/>
      <c r="K323" s="473"/>
      <c r="L323" s="635" t="s">
        <v>184</v>
      </c>
      <c r="M323" s="636"/>
      <c r="O323" s="635" t="str">
        <f>A138</f>
        <v>p29-1G 51F36</v>
      </c>
      <c r="P323" s="636"/>
      <c r="R323" s="635" t="s">
        <v>184</v>
      </c>
      <c r="S323" s="636"/>
    </row>
    <row r="324" spans="1:19" x14ac:dyDescent="0.25">
      <c r="A324" s="398" t="str">
        <v xml:space="preserve"> </v>
      </c>
      <c r="C324" s="635" t="str">
        <f>A61</f>
        <v>H2O 2.0L 1000g 6bar</v>
      </c>
      <c r="D324" s="636"/>
      <c r="F324" s="635" t="s">
        <v>184</v>
      </c>
      <c r="G324" s="636"/>
      <c r="H324" s="473"/>
      <c r="I324" s="633" t="s">
        <v>184</v>
      </c>
      <c r="J324" s="634"/>
      <c r="K324" s="473"/>
      <c r="L324" s="635" t="str">
        <f>A92</f>
        <v>Klima D9-7</v>
      </c>
      <c r="M324" s="636"/>
      <c r="O324" s="635" t="str">
        <f>A143</f>
        <v>p29-1G 55F29</v>
      </c>
      <c r="P324" s="636"/>
      <c r="R324" s="635" t="s">
        <v>184</v>
      </c>
      <c r="S324" s="636"/>
    </row>
    <row r="325" spans="1:19" x14ac:dyDescent="0.25">
      <c r="A325" s="398" t="str">
        <v xml:space="preserve"> </v>
      </c>
      <c r="C325" s="635" t="s">
        <v>184</v>
      </c>
      <c r="D325" s="636"/>
      <c r="F325" s="635" t="s">
        <v>184</v>
      </c>
      <c r="G325" s="636"/>
      <c r="H325" s="473"/>
      <c r="I325" s="633" t="s">
        <v>184</v>
      </c>
      <c r="J325" s="634"/>
      <c r="K325" s="473"/>
      <c r="L325" s="635" t="str">
        <f>A97</f>
        <v>Klima D9-7 x2</v>
      </c>
      <c r="M325" s="636"/>
      <c r="O325" s="635" t="str">
        <f>A153</f>
        <v>p29-1G 56F120</v>
      </c>
      <c r="P325" s="636"/>
      <c r="R325" s="635" t="s">
        <v>184</v>
      </c>
      <c r="S325" s="636"/>
    </row>
    <row r="326" spans="1:19" x14ac:dyDescent="0.25">
      <c r="A326" s="398" t="str">
        <v xml:space="preserve"> </v>
      </c>
      <c r="C326" s="635" t="s">
        <v>184</v>
      </c>
      <c r="D326" s="636"/>
      <c r="F326" s="635" t="s">
        <v>184</v>
      </c>
      <c r="G326" s="636"/>
      <c r="H326" s="473"/>
      <c r="I326" s="633" t="s">
        <v>184</v>
      </c>
      <c r="J326" s="634"/>
      <c r="K326" s="473"/>
      <c r="L326" s="635" t="str">
        <f>A102</f>
        <v>Klima D9-7 x3</v>
      </c>
      <c r="M326" s="636"/>
      <c r="O326" s="635" t="str">
        <f>A158</f>
        <v>p29-1G 57F59</v>
      </c>
      <c r="P326" s="636"/>
      <c r="R326" s="635" t="s">
        <v>184</v>
      </c>
      <c r="S326" s="636"/>
    </row>
    <row r="327" spans="1:19" x14ac:dyDescent="0.25">
      <c r="A327" s="398" t="str">
        <v xml:space="preserve"> </v>
      </c>
      <c r="C327" s="635" t="s">
        <v>184</v>
      </c>
      <c r="D327" s="636"/>
      <c r="F327" s="635" t="s">
        <v>184</v>
      </c>
      <c r="G327" s="636"/>
      <c r="H327" s="473"/>
      <c r="I327" s="633" t="s">
        <v>184</v>
      </c>
      <c r="J327" s="634"/>
      <c r="K327" s="473"/>
      <c r="L327" s="635" t="s">
        <v>184</v>
      </c>
      <c r="M327" s="636"/>
      <c r="O327" s="635" t="str">
        <f>A163</f>
        <v>p24-3G 60F50</v>
      </c>
      <c r="P327" s="636"/>
      <c r="R327" s="635" t="s">
        <v>184</v>
      </c>
      <c r="S327" s="636"/>
    </row>
    <row r="328" spans="1:19" x14ac:dyDescent="0.25">
      <c r="A328" s="398" t="str">
        <v xml:space="preserve"> </v>
      </c>
      <c r="C328" s="635" t="s">
        <v>184</v>
      </c>
      <c r="D328" s="636"/>
      <c r="F328" s="635" t="s">
        <v>184</v>
      </c>
      <c r="G328" s="636"/>
      <c r="H328" s="473"/>
      <c r="I328" s="633" t="s">
        <v>184</v>
      </c>
      <c r="J328" s="634"/>
      <c r="K328" s="473"/>
      <c r="L328" s="635" t="s">
        <v>184</v>
      </c>
      <c r="M328" s="636"/>
      <c r="O328" s="635" t="str">
        <f>A168</f>
        <v>p24-3G 68F79</v>
      </c>
      <c r="P328" s="636"/>
      <c r="R328" s="635" t="s">
        <v>184</v>
      </c>
      <c r="S328" s="636"/>
    </row>
    <row r="329" spans="1:19" x14ac:dyDescent="0.25">
      <c r="A329" s="398" t="str">
        <v xml:space="preserve"> </v>
      </c>
      <c r="C329" s="635" t="s">
        <v>184</v>
      </c>
      <c r="D329" s="636"/>
      <c r="F329" s="635" t="s">
        <v>184</v>
      </c>
      <c r="G329" s="636"/>
      <c r="H329" s="473"/>
      <c r="I329" s="633" t="s">
        <v>184</v>
      </c>
      <c r="J329" s="634"/>
      <c r="K329" s="473"/>
      <c r="L329" s="635" t="s">
        <v>184</v>
      </c>
      <c r="M329" s="636"/>
      <c r="O329" s="635" t="str">
        <f>A173</f>
        <v>p24-3G 68F240</v>
      </c>
      <c r="P329" s="636"/>
      <c r="R329" s="635" t="s">
        <v>184</v>
      </c>
      <c r="S329" s="636"/>
    </row>
    <row r="330" spans="1:19" x14ac:dyDescent="0.25">
      <c r="A330" s="398" t="str">
        <v xml:space="preserve"> </v>
      </c>
      <c r="C330" s="635" t="s">
        <v>184</v>
      </c>
      <c r="D330" s="636"/>
      <c r="F330" s="635" t="s">
        <v>184</v>
      </c>
      <c r="G330" s="636"/>
      <c r="H330" s="473"/>
      <c r="I330" s="633" t="s">
        <v>184</v>
      </c>
      <c r="J330" s="634"/>
      <c r="K330" s="473"/>
      <c r="L330" s="635" t="s">
        <v>184</v>
      </c>
      <c r="M330" s="636"/>
      <c r="O330" s="635" t="str">
        <f>A178</f>
        <v>p24-3G 73F30</v>
      </c>
      <c r="P330" s="636"/>
      <c r="R330" s="635" t="s">
        <v>184</v>
      </c>
      <c r="S330" s="636"/>
    </row>
    <row r="331" spans="1:19" x14ac:dyDescent="0.25">
      <c r="A331" s="398" t="str">
        <v xml:space="preserve"> </v>
      </c>
      <c r="C331" s="635" t="s">
        <v>184</v>
      </c>
      <c r="D331" s="636"/>
      <c r="F331" s="635" t="s">
        <v>184</v>
      </c>
      <c r="G331" s="636"/>
      <c r="H331" s="473"/>
      <c r="I331" s="641" t="s">
        <v>184</v>
      </c>
      <c r="J331" s="642"/>
      <c r="K331" s="473"/>
      <c r="L331" s="635" t="s">
        <v>184</v>
      </c>
      <c r="M331" s="636"/>
      <c r="O331" s="635" t="str">
        <f>A183</f>
        <v>p24-3G 74F85</v>
      </c>
      <c r="P331" s="636"/>
      <c r="R331" s="635" t="s">
        <v>184</v>
      </c>
      <c r="S331" s="636"/>
    </row>
    <row r="332" spans="1:19" x14ac:dyDescent="0.25">
      <c r="A332" s="462" t="str">
        <v xml:space="preserve"> </v>
      </c>
      <c r="C332" s="638" t="s">
        <v>184</v>
      </c>
      <c r="D332" s="639"/>
      <c r="F332" s="638" t="s">
        <v>184</v>
      </c>
      <c r="G332" s="639"/>
      <c r="H332" s="473"/>
      <c r="I332" s="638" t="s">
        <v>184</v>
      </c>
      <c r="J332" s="639"/>
      <c r="K332" s="473"/>
      <c r="L332" s="638" t="s">
        <v>184</v>
      </c>
      <c r="M332" s="639"/>
      <c r="O332" s="635" t="str">
        <f>A188</f>
        <v>p24-3G 75F51</v>
      </c>
      <c r="P332" s="636"/>
      <c r="R332" s="638" t="s">
        <v>184</v>
      </c>
      <c r="S332" s="639"/>
    </row>
    <row r="333" spans="1:19" x14ac:dyDescent="0.25">
      <c r="A333" s="398" t="str">
        <v xml:space="preserve"> </v>
      </c>
      <c r="C333" s="645" t="s">
        <v>184</v>
      </c>
      <c r="D333" s="645"/>
      <c r="F333" s="645" t="s">
        <v>184</v>
      </c>
      <c r="G333" s="645"/>
      <c r="I333" s="632" t="s">
        <v>184</v>
      </c>
      <c r="J333" s="632"/>
      <c r="L333" s="632" t="s">
        <v>184</v>
      </c>
      <c r="M333" s="632"/>
      <c r="O333" s="635" t="str">
        <f>A213</f>
        <v>p29-2G 84G88</v>
      </c>
      <c r="P333" s="636"/>
      <c r="R333" s="640" t="s">
        <v>184</v>
      </c>
      <c r="S333" s="640"/>
    </row>
    <row r="334" spans="1:19" x14ac:dyDescent="0.25">
      <c r="A334" s="398" t="str">
        <v>Isard</v>
      </c>
      <c r="C334" s="629" t="s">
        <v>184</v>
      </c>
      <c r="D334" s="629"/>
      <c r="F334" s="629" t="s">
        <v>184</v>
      </c>
      <c r="G334" s="629"/>
      <c r="I334" s="632" t="s">
        <v>184</v>
      </c>
      <c r="J334" s="632"/>
      <c r="L334" s="632" t="s">
        <v>184</v>
      </c>
      <c r="M334" s="632"/>
      <c r="O334" s="635" t="str">
        <f>A218</f>
        <v>p29-2G 93G80</v>
      </c>
      <c r="P334" s="636"/>
      <c r="R334" s="637" t="str">
        <f>A269</f>
        <v>Isard</v>
      </c>
      <c r="S334" s="637"/>
    </row>
    <row r="335" spans="1:19" x14ac:dyDescent="0.25">
      <c r="A335" s="398" t="str">
        <v>Chamois</v>
      </c>
      <c r="C335" s="629" t="s">
        <v>184</v>
      </c>
      <c r="D335" s="629"/>
      <c r="F335" s="629" t="s">
        <v>184</v>
      </c>
      <c r="G335" s="629"/>
      <c r="I335" s="632" t="s">
        <v>184</v>
      </c>
      <c r="J335" s="632"/>
      <c r="L335" s="632" t="s">
        <v>184</v>
      </c>
      <c r="M335" s="632"/>
      <c r="O335" s="635" t="str">
        <f>A223</f>
        <v>p29-2G 110G250</v>
      </c>
      <c r="P335" s="636"/>
      <c r="R335" s="637" t="str">
        <f>A274</f>
        <v>Chamois</v>
      </c>
      <c r="S335" s="637"/>
    </row>
    <row r="336" spans="1:19" x14ac:dyDescent="0.25">
      <c r="A336" s="398" t="str">
        <v>Pro75-2G</v>
      </c>
      <c r="C336" s="629" t="s">
        <v>184</v>
      </c>
      <c r="D336" s="629"/>
      <c r="F336" s="629" t="s">
        <v>184</v>
      </c>
      <c r="G336" s="629"/>
      <c r="I336" s="632" t="s">
        <v>184</v>
      </c>
      <c r="J336" s="632"/>
      <c r="L336" s="632" t="s">
        <v>184</v>
      </c>
      <c r="M336" s="632"/>
      <c r="O336" s="635" t="str">
        <f>A228</f>
        <v>p29-2G 116G126</v>
      </c>
      <c r="P336" s="636"/>
      <c r="R336" s="637" t="str">
        <f>A284</f>
        <v>Pro75-2G</v>
      </c>
      <c r="S336" s="637"/>
    </row>
    <row r="337" spans="1:19" x14ac:dyDescent="0.25">
      <c r="A337" s="398" t="str">
        <v>Pro98-2G WT</v>
      </c>
      <c r="C337" s="629" t="s">
        <v>184</v>
      </c>
      <c r="D337" s="629"/>
      <c r="F337" s="629" t="s">
        <v>184</v>
      </c>
      <c r="G337" s="629"/>
      <c r="I337" s="632" t="s">
        <v>184</v>
      </c>
      <c r="J337" s="632"/>
      <c r="L337" s="632" t="s">
        <v>184</v>
      </c>
      <c r="M337" s="632"/>
      <c r="O337" s="635" t="str">
        <f>A233</f>
        <v>p29-3G 125G131</v>
      </c>
      <c r="P337" s="636"/>
      <c r="R337" s="637" t="str">
        <f>A294</f>
        <v>Pro98-2G WT</v>
      </c>
      <c r="S337" s="637"/>
    </row>
    <row r="338" spans="1:19" x14ac:dyDescent="0.25">
      <c r="A338" s="398" t="str">
        <v>Pro98-3G WT</v>
      </c>
      <c r="C338" s="629" t="s">
        <v>184</v>
      </c>
      <c r="D338" s="629"/>
      <c r="F338" s="629" t="s">
        <v>184</v>
      </c>
      <c r="G338" s="629"/>
      <c r="I338" s="632" t="s">
        <v>184</v>
      </c>
      <c r="J338" s="632"/>
      <c r="L338" s="632" t="s">
        <v>184</v>
      </c>
      <c r="M338" s="632"/>
      <c r="O338" s="635" t="str">
        <f>A248</f>
        <v>p38-1G 128G185</v>
      </c>
      <c r="P338" s="636"/>
      <c r="R338" s="637" t="str">
        <f>A299</f>
        <v>Pro98-3G WT</v>
      </c>
      <c r="S338" s="637"/>
    </row>
    <row r="339" spans="1:19" x14ac:dyDescent="0.25">
      <c r="A339" s="398" t="str">
        <v>Aucun (2e ét. inerte)</v>
      </c>
      <c r="C339" s="629" t="s">
        <v>184</v>
      </c>
      <c r="D339" s="629"/>
      <c r="F339" s="629" t="s">
        <v>184</v>
      </c>
      <c r="G339" s="629"/>
      <c r="I339" s="632" t="s">
        <v>184</v>
      </c>
      <c r="J339" s="632"/>
      <c r="L339" s="632" t="s">
        <v>184</v>
      </c>
      <c r="M339" s="632"/>
      <c r="O339" s="635" t="str">
        <f>A243</f>
        <v>p38-1G 137G58</v>
      </c>
      <c r="P339" s="636"/>
      <c r="R339" s="637" t="str">
        <f>A309</f>
        <v>Aucun (2e ét. inerte)</v>
      </c>
      <c r="S339" s="637"/>
    </row>
    <row r="340" spans="1:19" x14ac:dyDescent="0.25">
      <c r="A340" s="398" t="str">
        <v xml:space="preserve"> </v>
      </c>
      <c r="C340" s="629" t="s">
        <v>184</v>
      </c>
      <c r="D340" s="629"/>
      <c r="F340" s="629" t="s">
        <v>184</v>
      </c>
      <c r="G340" s="629"/>
      <c r="I340" s="632" t="s">
        <v>184</v>
      </c>
      <c r="J340" s="632"/>
      <c r="L340" s="632" t="s">
        <v>184</v>
      </c>
      <c r="M340" s="632"/>
      <c r="O340" s="635" t="str">
        <f>A253</f>
        <v>p38-1G 141G78</v>
      </c>
      <c r="P340" s="636"/>
      <c r="R340" s="632" t="s">
        <v>184</v>
      </c>
      <c r="S340" s="632"/>
    </row>
    <row r="341" spans="1:19" x14ac:dyDescent="0.25">
      <c r="A341" s="398" t="str">
        <v xml:space="preserve"> </v>
      </c>
      <c r="C341" s="629" t="s">
        <v>184</v>
      </c>
      <c r="D341" s="629"/>
      <c r="F341" s="629" t="s">
        <v>184</v>
      </c>
      <c r="G341" s="629"/>
      <c r="I341" s="629" t="s">
        <v>184</v>
      </c>
      <c r="J341" s="629"/>
      <c r="L341" s="632" t="s">
        <v>184</v>
      </c>
      <c r="M341" s="632"/>
      <c r="O341" s="635" t="str">
        <f>A193</f>
        <v>p24-6G 140G145 PK</v>
      </c>
      <c r="P341" s="636"/>
      <c r="R341" s="629" t="s">
        <v>184</v>
      </c>
      <c r="S341" s="629"/>
    </row>
    <row r="342" spans="1:19" x14ac:dyDescent="0.25">
      <c r="A342" s="398" t="str">
        <v xml:space="preserve"> </v>
      </c>
      <c r="C342" s="629" t="s">
        <v>184</v>
      </c>
      <c r="D342" s="629"/>
      <c r="F342" s="629" t="s">
        <v>184</v>
      </c>
      <c r="G342" s="629"/>
      <c r="I342" s="629" t="s">
        <v>184</v>
      </c>
      <c r="J342" s="629"/>
      <c r="L342" s="632" t="s">
        <v>184</v>
      </c>
      <c r="M342" s="632"/>
      <c r="O342" s="635" t="str">
        <f>A198</f>
        <v>Pandora (Pro24-6G BS)</v>
      </c>
      <c r="P342" s="636"/>
      <c r="R342" s="629" t="s">
        <v>184</v>
      </c>
      <c r="S342" s="629"/>
    </row>
    <row r="343" spans="1:19" x14ac:dyDescent="0.25">
      <c r="A343" s="398" t="str">
        <v xml:space="preserve"> </v>
      </c>
      <c r="C343" s="629" t="s">
        <v>184</v>
      </c>
      <c r="D343" s="629"/>
      <c r="F343" s="629" t="s">
        <v>184</v>
      </c>
      <c r="G343" s="629"/>
      <c r="I343" s="629" t="s">
        <v>184</v>
      </c>
      <c r="J343" s="629"/>
      <c r="L343" s="629" t="s">
        <v>184</v>
      </c>
      <c r="M343" s="629"/>
      <c r="O343" s="633" t="str">
        <f>A203</f>
        <v>p24-6G 142G117 WT</v>
      </c>
      <c r="P343" s="634"/>
      <c r="R343" s="629" t="s">
        <v>184</v>
      </c>
      <c r="S343" s="629"/>
    </row>
    <row r="344" spans="1:19" x14ac:dyDescent="0.25">
      <c r="A344" s="398" t="str">
        <v xml:space="preserve"> </v>
      </c>
      <c r="C344" s="629" t="s">
        <v>184</v>
      </c>
      <c r="D344" s="629"/>
      <c r="F344" s="629" t="s">
        <v>184</v>
      </c>
      <c r="G344" s="629"/>
      <c r="I344" s="629" t="s">
        <v>184</v>
      </c>
      <c r="J344" s="629"/>
      <c r="L344" s="629" t="s">
        <v>184</v>
      </c>
      <c r="M344" s="629"/>
      <c r="O344" s="633" t="str">
        <f>A208</f>
        <v>p24-6G 139G107 DT</v>
      </c>
      <c r="P344" s="634"/>
      <c r="R344" s="629" t="s">
        <v>184</v>
      </c>
      <c r="S344" s="629"/>
    </row>
    <row r="345" spans="1:19" x14ac:dyDescent="0.25">
      <c r="A345" s="398" t="str">
        <v xml:space="preserve"> </v>
      </c>
      <c r="C345" s="629" t="s">
        <v>184</v>
      </c>
      <c r="D345" s="629"/>
      <c r="F345" s="629" t="s">
        <v>184</v>
      </c>
      <c r="G345" s="629"/>
      <c r="I345" s="629" t="s">
        <v>184</v>
      </c>
      <c r="J345" s="629"/>
      <c r="L345" s="629" t="s">
        <v>184</v>
      </c>
      <c r="M345" s="629"/>
      <c r="O345" s="633" t="str">
        <f>A263</f>
        <v>Cariacou</v>
      </c>
      <c r="P345" s="634"/>
      <c r="R345" s="629" t="s">
        <v>184</v>
      </c>
      <c r="S345" s="629"/>
    </row>
    <row r="346" spans="1:19" x14ac:dyDescent="0.25">
      <c r="A346" s="474" t="str">
        <v xml:space="preserve"> </v>
      </c>
      <c r="C346" s="629" t="s">
        <v>184</v>
      </c>
      <c r="D346" s="629"/>
      <c r="F346" s="629" t="s">
        <v>184</v>
      </c>
      <c r="G346" s="629"/>
      <c r="I346" s="629" t="s">
        <v>184</v>
      </c>
      <c r="J346" s="629"/>
      <c r="L346" s="629" t="s">
        <v>184</v>
      </c>
      <c r="M346" s="629"/>
      <c r="O346" s="630" t="str">
        <f>A258</f>
        <v>Wapiti</v>
      </c>
      <c r="P346" s="631"/>
      <c r="R346" s="629" t="s">
        <v>184</v>
      </c>
      <c r="S346" s="629"/>
    </row>
  </sheetData>
  <sheetProtection password="C6AC" sheet="1" objects="1" scenarios="1"/>
  <dataConsolidate/>
  <mergeCells count="186">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 ref="C345:D345"/>
    <mergeCell ref="C346:D346"/>
    <mergeCell ref="C335:D335"/>
    <mergeCell ref="C336:D336"/>
    <mergeCell ref="C337:D337"/>
    <mergeCell ref="C338:D338"/>
    <mergeCell ref="C339:D339"/>
    <mergeCell ref="C340:D340"/>
    <mergeCell ref="C334:D334"/>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R317:S318 C317:D324 F317:G321 O322:P339 O342:P342 R334:S339 O340:O341 O317:P319 O320:P321 P341 M324"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B219" sqref="B219"/>
    </sheetView>
  </sheetViews>
  <sheetFormatPr baseColWidth="10" defaultColWidth="11.6640625" defaultRowHeight="13.2" x14ac:dyDescent="0.25"/>
  <cols>
    <col min="1" max="1" width="4.6640625" style="7" bestFit="1" customWidth="1"/>
    <col min="2" max="2" width="6" style="7" bestFit="1" customWidth="1"/>
    <col min="3" max="3" width="1.33203125" style="8" customWidth="1"/>
    <col min="4" max="4" width="7.21875" style="7" customWidth="1"/>
    <col min="5" max="6" width="7.33203125" style="7" customWidth="1"/>
    <col min="7" max="7" width="7.21875" style="7" customWidth="1"/>
    <col min="8" max="8" width="7.33203125" style="7" customWidth="1"/>
    <col min="9" max="9" width="7.21875" style="7" customWidth="1"/>
    <col min="10" max="12" width="7.6640625" style="7" bestFit="1" customWidth="1"/>
    <col min="13" max="13" width="5.77734375" style="7" customWidth="1"/>
    <col min="14" max="14" width="6.33203125" style="7" customWidth="1"/>
    <col min="15" max="15" width="1.33203125" style="8" customWidth="1"/>
    <col min="16" max="16" width="4" style="7" customWidth="1"/>
    <col min="17" max="17" width="8.6640625" style="7" customWidth="1"/>
    <col min="18" max="18" width="5.77734375" style="7" customWidth="1"/>
    <col min="19" max="19" width="5.21875" style="7" customWidth="1"/>
    <col min="20" max="20" width="6" style="7" customWidth="1"/>
    <col min="21" max="21" width="8.77734375" style="7" customWidth="1"/>
    <col min="22" max="22" width="6.77734375" style="7" customWidth="1"/>
    <col min="23" max="23" width="7.21875" style="7" customWidth="1"/>
    <col min="24" max="24" width="1.33203125" style="8" customWidth="1"/>
    <col min="25" max="25" width="15.77734375" style="7" customWidth="1"/>
    <col min="26" max="26" width="5.77734375" style="7" customWidth="1"/>
    <col min="27" max="27" width="7.77734375" style="7" customWidth="1"/>
    <col min="28" max="28" width="1.6640625" style="7" customWidth="1"/>
    <col min="29" max="29" width="7.21875" style="7" bestFit="1" customWidth="1"/>
    <col min="30" max="31" width="6.77734375" style="7" bestFit="1" customWidth="1"/>
    <col min="32" max="32" width="1.77734375" style="7" customWidth="1"/>
    <col min="33" max="238" width="11.33203125" style="7" customWidth="1"/>
    <col min="239" max="239" width="11" style="7" customWidth="1"/>
  </cols>
  <sheetData>
    <row r="1" spans="1:248" ht="13.8" thickBot="1" x14ac:dyDescent="0.3">
      <c r="D1" s="646" t="s">
        <v>266</v>
      </c>
      <c r="E1" s="647"/>
      <c r="F1" s="647"/>
      <c r="G1" s="647"/>
      <c r="H1" s="647"/>
      <c r="I1" s="647"/>
      <c r="J1" s="647"/>
      <c r="K1" s="647"/>
      <c r="L1" s="647"/>
      <c r="M1" s="647"/>
      <c r="N1" s="648"/>
      <c r="P1" s="646" t="s">
        <v>17</v>
      </c>
      <c r="Q1" s="647"/>
      <c r="R1" s="647"/>
      <c r="S1" s="647"/>
      <c r="T1" s="647"/>
      <c r="U1" s="647"/>
      <c r="V1" s="647"/>
      <c r="W1" s="648"/>
      <c r="Y1" s="9"/>
      <c r="Z1" s="9"/>
      <c r="AA1" s="9"/>
      <c r="AC1" s="653" t="s">
        <v>186</v>
      </c>
      <c r="AD1" s="653"/>
      <c r="AE1" s="653"/>
      <c r="AG1" s="649" t="s">
        <v>18</v>
      </c>
      <c r="AH1" s="649"/>
    </row>
    <row r="2" spans="1:248" s="12" customFormat="1" x14ac:dyDescent="0.25">
      <c r="A2" s="330" t="s">
        <v>19</v>
      </c>
      <c r="B2" s="331" t="s">
        <v>2</v>
      </c>
      <c r="C2" s="10"/>
      <c r="D2" s="334" t="s">
        <v>193</v>
      </c>
      <c r="E2" s="335" t="s">
        <v>194</v>
      </c>
      <c r="F2" s="331" t="s">
        <v>195</v>
      </c>
      <c r="G2" s="334" t="s">
        <v>190</v>
      </c>
      <c r="H2" s="335" t="s">
        <v>191</v>
      </c>
      <c r="I2" s="331" t="s">
        <v>192</v>
      </c>
      <c r="J2" s="334" t="s">
        <v>187</v>
      </c>
      <c r="K2" s="335" t="s">
        <v>188</v>
      </c>
      <c r="L2" s="331" t="s">
        <v>189</v>
      </c>
      <c r="M2" s="330" t="s">
        <v>20</v>
      </c>
      <c r="N2" s="331" t="s">
        <v>21</v>
      </c>
      <c r="O2" s="10"/>
      <c r="P2" s="330" t="s">
        <v>26</v>
      </c>
      <c r="Q2" s="331" t="s">
        <v>25</v>
      </c>
      <c r="R2" s="330" t="s">
        <v>22</v>
      </c>
      <c r="S2" s="335" t="s">
        <v>39</v>
      </c>
      <c r="T2" s="331" t="s">
        <v>27</v>
      </c>
      <c r="U2" s="338" t="s">
        <v>28</v>
      </c>
      <c r="V2" s="330" t="s">
        <v>24</v>
      </c>
      <c r="W2" s="331" t="s">
        <v>23</v>
      </c>
      <c r="X2" s="11"/>
      <c r="Y2" s="650" t="s">
        <v>185</v>
      </c>
      <c r="Z2" s="651"/>
      <c r="AA2" s="652"/>
      <c r="AC2" s="330" t="s">
        <v>11</v>
      </c>
      <c r="AD2" s="335" t="s">
        <v>3</v>
      </c>
      <c r="AE2" s="331" t="s">
        <v>29</v>
      </c>
      <c r="AG2" s="345" t="s">
        <v>31</v>
      </c>
      <c r="AH2" s="346" t="s">
        <v>30</v>
      </c>
      <c r="IF2"/>
      <c r="IG2"/>
      <c r="IH2"/>
      <c r="II2"/>
      <c r="IJ2"/>
      <c r="IK2"/>
      <c r="IL2"/>
      <c r="IM2"/>
      <c r="IN2"/>
    </row>
    <row r="3" spans="1:248" s="12" customFormat="1" x14ac:dyDescent="0.25">
      <c r="A3" s="332" t="s">
        <v>154</v>
      </c>
      <c r="B3" s="333" t="s">
        <v>154</v>
      </c>
      <c r="C3" s="10"/>
      <c r="D3" s="336" t="s">
        <v>7</v>
      </c>
      <c r="E3" s="337" t="s">
        <v>7</v>
      </c>
      <c r="F3" s="333" t="s">
        <v>7</v>
      </c>
      <c r="G3" s="336" t="s">
        <v>155</v>
      </c>
      <c r="H3" s="337" t="s">
        <v>155</v>
      </c>
      <c r="I3" s="333" t="s">
        <v>155</v>
      </c>
      <c r="J3" s="336" t="s">
        <v>39</v>
      </c>
      <c r="K3" s="337" t="s">
        <v>39</v>
      </c>
      <c r="L3" s="333" t="s">
        <v>39</v>
      </c>
      <c r="M3" s="332" t="s">
        <v>244</v>
      </c>
      <c r="N3" s="333" t="s">
        <v>156</v>
      </c>
      <c r="O3" s="10"/>
      <c r="P3" s="336" t="s">
        <v>14</v>
      </c>
      <c r="Q3" s="339" t="s">
        <v>227</v>
      </c>
      <c r="R3" s="336" t="s">
        <v>245</v>
      </c>
      <c r="S3" s="340" t="s">
        <v>228</v>
      </c>
      <c r="T3" s="339" t="s">
        <v>227</v>
      </c>
      <c r="U3" s="341" t="s">
        <v>227</v>
      </c>
      <c r="V3" s="336" t="s">
        <v>8</v>
      </c>
      <c r="W3" s="339" t="s">
        <v>227</v>
      </c>
      <c r="X3" s="11"/>
      <c r="Y3" s="342"/>
      <c r="Z3" s="343"/>
      <c r="AA3" s="344"/>
      <c r="AC3" s="336" t="s">
        <v>154</v>
      </c>
      <c r="AD3" s="340" t="s">
        <v>39</v>
      </c>
      <c r="AE3" s="339" t="s">
        <v>39</v>
      </c>
      <c r="AG3" s="342" t="s">
        <v>7</v>
      </c>
      <c r="AH3" s="339" t="s">
        <v>7</v>
      </c>
      <c r="IF3"/>
      <c r="IG3"/>
      <c r="IH3"/>
      <c r="II3"/>
      <c r="IJ3"/>
      <c r="IK3"/>
      <c r="IL3"/>
      <c r="IM3"/>
      <c r="IN3"/>
    </row>
    <row r="4" spans="1:248" x14ac:dyDescent="0.25">
      <c r="A4" s="292" t="s">
        <v>14</v>
      </c>
      <c r="B4" s="349">
        <f>T_ini</f>
        <v>0</v>
      </c>
      <c r="D4" s="292" t="s">
        <v>14</v>
      </c>
      <c r="E4" s="293" t="s">
        <v>14</v>
      </c>
      <c r="F4" s="294" t="s">
        <v>14</v>
      </c>
      <c r="G4" s="292">
        <f>vit_xz*COS(Beta)</f>
        <v>0</v>
      </c>
      <c r="H4" s="293">
        <f>vit_xz*SIN(Beta)</f>
        <v>0</v>
      </c>
      <c r="I4" s="349">
        <f>V_ini</f>
        <v>0</v>
      </c>
      <c r="J4" s="350">
        <f>X_ini</f>
        <v>0</v>
      </c>
      <c r="K4" s="351">
        <f>Z_ini</f>
        <v>0</v>
      </c>
      <c r="L4" s="327">
        <f t="shared" ref="L4:L67" si="0">SQRT(pos_x^2+pos_z^2)</f>
        <v>0</v>
      </c>
      <c r="M4" s="292">
        <f>RADIANS(N4)</f>
        <v>1.3962634015954636</v>
      </c>
      <c r="N4" s="349">
        <f>Beta_rampe</f>
        <v>80</v>
      </c>
      <c r="P4" s="292" t="s">
        <v>14</v>
      </c>
      <c r="Q4" s="294" t="s">
        <v>14</v>
      </c>
      <c r="R4" s="292" t="s">
        <v>14</v>
      </c>
      <c r="S4" s="351">
        <f ca="1">m_tot</f>
        <v>14.282999999999998</v>
      </c>
      <c r="T4" s="327">
        <f t="shared" ref="T4:T67" ca="1" si="1">m*g</f>
        <v>140.11622999999997</v>
      </c>
      <c r="U4" s="328">
        <f t="shared" ref="U4:U67" ca="1" si="2">IF(pos_xz&lt;L_rampe,Poids*COS(Beta),0)</f>
        <v>24.330928001060482</v>
      </c>
      <c r="V4" s="329">
        <f t="shared" ref="V4:V67" si="3">Rho_moyen*(20000-Alt_rampe-pos_z)/(20000+Alt_rampe+pos_z)</f>
        <v>1.2250000000000001</v>
      </c>
      <c r="W4" s="327">
        <f t="shared" ref="W4:W67" si="4">1/2*Rho*Sref*Cx*vit_xz^2</f>
        <v>0</v>
      </c>
      <c r="Y4" s="295" t="s">
        <v>14</v>
      </c>
      <c r="Z4" s="296" t="s">
        <v>14</v>
      </c>
      <c r="AA4" s="297" t="s">
        <v>14</v>
      </c>
      <c r="AC4" s="320">
        <f>IF(ABS(t-ROUND(t,0))&lt;0.001,t,-1)</f>
        <v>0</v>
      </c>
      <c r="AD4" s="321">
        <f>IF(ABS(t-ROUND(t,0))&lt;0.001,pos_x,-1)</f>
        <v>0</v>
      </c>
      <c r="AE4" s="322">
        <f t="shared" ref="AE4:AE67" si="5">IF(t&lt;T_para, pos_z, NA())</f>
        <v>0</v>
      </c>
      <c r="AG4" s="292" t="s">
        <v>14</v>
      </c>
      <c r="AH4" s="294" t="s">
        <v>14</v>
      </c>
    </row>
    <row r="5" spans="1:248" x14ac:dyDescent="0.25">
      <c r="A5" s="347">
        <f t="shared" ref="A5:A68" ca="1" si="6">IF(B4+0.01&lt;=T_ini+ROUNDUP(Temps_fin_propu,0), 0.01, IF(K4&gt;0, 0.1, 0.0001))</f>
        <v>0.01</v>
      </c>
      <c r="B5" s="304">
        <f t="shared" ref="B5:B68" ca="1" si="7">B4+pas</f>
        <v>0.01</v>
      </c>
      <c r="D5" s="306">
        <f t="shared" ref="D5:D68" ca="1" si="8">IF(AND(L4&lt;L_rampe,Poussee&lt;Poids*SIN(M4)),0,(-W4+Poussee)/m*COS(M4)-U4/m*SIN(M4))</f>
        <v>0.93271584044031641</v>
      </c>
      <c r="E5" s="307">
        <f t="shared" ref="E5:E68" ca="1" si="9">IF(AND(L4&lt;L_rampe,Poussee&lt;Poids*SIN(M4)),0,(-W4+Poussee)/m*SIN(M4)+U4/m*COS(M4)-Poids/m)</f>
        <v>5.2904331316601798</v>
      </c>
      <c r="F5" s="304">
        <f t="shared" ref="F5:F68" ca="1" si="10">SQRT(acc_x^2+acc_z^2)</f>
        <v>5.3720239723567902</v>
      </c>
      <c r="G5" s="306">
        <f t="shared" ref="G5:G68" ca="1" si="11">G4+acc_x*pas</f>
        <v>9.3271584044031641E-3</v>
      </c>
      <c r="H5" s="307">
        <f t="shared" ref="H5:H68" ca="1" si="12">H4+acc_z*pas</f>
        <v>5.2904331316601799E-2</v>
      </c>
      <c r="I5" s="304">
        <f t="shared" ref="I5:I68" ca="1" si="13">SQRT(vit_x^2+vit_z^2)</f>
        <v>5.3720239723567896E-2</v>
      </c>
      <c r="J5" s="306">
        <f t="shared" ref="J5:J68" ca="1" si="14">J4+0.5*(vit_x+G4)*pas*(K4&gt;=0)</f>
        <v>4.6635792022015819E-5</v>
      </c>
      <c r="K5" s="307">
        <f t="shared" ref="K5:K68" ca="1" si="15">K4+0.5*(vit_z+H4)*pas</f>
        <v>2.6452165658300903E-4</v>
      </c>
      <c r="L5" s="304">
        <f t="shared" ca="1" si="0"/>
        <v>2.6860119861783955E-4</v>
      </c>
      <c r="M5" s="306">
        <f t="shared" ref="M5:M68" ca="1" si="16">IF(AND(L4&gt;L_rampe,G5&gt;0),ATAN2(G5,H5),$M$4)</f>
        <v>1.3962634015954636</v>
      </c>
      <c r="N5" s="304">
        <f t="shared" ref="N5:N68" ca="1" si="17">DEGREES(Beta)</f>
        <v>80</v>
      </c>
      <c r="P5" s="310">
        <f t="shared" ref="P5:P68" ca="1" si="18">MATCH(t-pas/2-T_ini,CdP_t)</f>
        <v>1</v>
      </c>
      <c r="Q5" s="304">
        <f t="shared" ref="Q5:Q68" ca="1" si="19">(INDEX(CdP,2,i_P+1)-INDEX(CdP,2,i_P+0))/(INDEX(CdP,1,i_P+1)-INDEX(CdP,1,i_P+0))*(t-pas/2-T_ini-INDEX(CdP,1,i_P+0))+INDEX(CdP,2,i_P+0)</f>
        <v>214.70000000000002</v>
      </c>
      <c r="R5" s="306">
        <f t="shared" ref="R5:R68" ca="1" si="20">Poussee/(g*ISP)</f>
        <v>0.10755015641095009</v>
      </c>
      <c r="S5" s="307">
        <f t="shared" ref="S5:S68" ca="1" si="21">S4-Débit*pas</f>
        <v>14.281924498435888</v>
      </c>
      <c r="T5" s="304">
        <f t="shared" ca="1" si="1"/>
        <v>140.10567932965608</v>
      </c>
      <c r="U5" s="311">
        <f t="shared" ca="1" si="2"/>
        <v>24.3290958963821</v>
      </c>
      <c r="V5" s="306">
        <f t="shared" ca="1" si="3"/>
        <v>1.2249999675960979</v>
      </c>
      <c r="W5" s="304">
        <f t="shared" ca="1" si="4"/>
        <v>8.0725752848031424E-6</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2.6452165658300903E-4</v>
      </c>
      <c r="AG5" s="306">
        <f t="shared" ref="AG5:AG68" ca="1" si="27">IF(AND(L4&lt;L_rampe,Poussee&lt;Poids*SIN(M4)),0,(-W4+Poussee)/m-Poids*SIN(M4)/m)</f>
        <v>5.3720239708251434</v>
      </c>
      <c r="AH5" s="304">
        <f t="shared" ref="AH5:AH68" ca="1" si="28">IF(AND(L4&lt;L_rampe,Poussee&lt;Poids*SIN(M4)), g*SIN(M4), (-W4+Poussee)/m)</f>
        <v>15.032988027874906</v>
      </c>
    </row>
    <row r="6" spans="1:248" x14ac:dyDescent="0.25">
      <c r="A6" s="347">
        <f t="shared" ca="1" si="6"/>
        <v>0.01</v>
      </c>
      <c r="B6" s="304">
        <f t="shared" ca="1" si="7"/>
        <v>0.02</v>
      </c>
      <c r="D6" s="306">
        <f t="shared" ca="1" si="8"/>
        <v>3.8124667031198252</v>
      </c>
      <c r="E6" s="307">
        <f t="shared" ca="1" si="9"/>
        <v>21.623126836922637</v>
      </c>
      <c r="F6" s="304">
        <f t="shared" ca="1" si="10"/>
        <v>21.956650850438038</v>
      </c>
      <c r="G6" s="306">
        <f t="shared" ca="1" si="11"/>
        <v>4.7451825435601419E-2</v>
      </c>
      <c r="H6" s="307">
        <f t="shared" ca="1" si="12"/>
        <v>0.26913559968582818</v>
      </c>
      <c r="I6" s="304">
        <f t="shared" ca="1" si="13"/>
        <v>0.27328674822504867</v>
      </c>
      <c r="J6" s="306">
        <f t="shared" ca="1" si="14"/>
        <v>3.3053071122203872E-4</v>
      </c>
      <c r="K6" s="307">
        <f t="shared" ca="1" si="15"/>
        <v>1.8747213115951592E-3</v>
      </c>
      <c r="L6" s="304">
        <f t="shared" ca="1" si="0"/>
        <v>1.9036361383442007E-3</v>
      </c>
      <c r="M6" s="306">
        <f t="shared" ca="1" si="16"/>
        <v>1.3962634015954636</v>
      </c>
      <c r="N6" s="304">
        <f t="shared" ca="1" si="17"/>
        <v>80</v>
      </c>
      <c r="P6" s="310">
        <f t="shared" ca="1" si="18"/>
        <v>2</v>
      </c>
      <c r="Q6" s="304">
        <f t="shared" ca="1" si="19"/>
        <v>451.48888888888888</v>
      </c>
      <c r="R6" s="306">
        <f t="shared" ca="1" si="20"/>
        <v>0.22616534987333983</v>
      </c>
      <c r="S6" s="307">
        <f t="shared" ca="1" si="21"/>
        <v>14.279662844937155</v>
      </c>
      <c r="T6" s="304">
        <f t="shared" ca="1" si="1"/>
        <v>140.0834925088335</v>
      </c>
      <c r="U6" s="311">
        <f t="shared" ca="1" si="2"/>
        <v>24.325243195378036</v>
      </c>
      <c r="V6" s="306">
        <f t="shared" ca="1" si="3"/>
        <v>1.2249997703466611</v>
      </c>
      <c r="W6" s="304">
        <f t="shared" ca="1" si="4"/>
        <v>2.0891676685574117E-4</v>
      </c>
      <c r="Y6" s="314" t="str">
        <f t="shared" ca="1" si="22"/>
        <v/>
      </c>
      <c r="Z6" s="315" t="str">
        <f t="shared" ca="1" si="23"/>
        <v/>
      </c>
      <c r="AA6" s="316" t="str">
        <f t="shared" ca="1" si="24"/>
        <v/>
      </c>
      <c r="AC6" s="310" t="e">
        <f t="shared" ca="1" si="25"/>
        <v>#N/A</v>
      </c>
      <c r="AD6" s="323" t="e">
        <f t="shared" ca="1" si="26"/>
        <v>#N/A</v>
      </c>
      <c r="AE6" s="324">
        <f t="shared" ca="1" si="5"/>
        <v>1.8747213115951592E-3</v>
      </c>
      <c r="AG6" s="306">
        <f t="shared" ca="1" si="27"/>
        <v>21.956650848780363</v>
      </c>
      <c r="AH6" s="304">
        <f t="shared" ca="1" si="28"/>
        <v>31.617614905830127</v>
      </c>
    </row>
    <row r="7" spans="1:248" x14ac:dyDescent="0.25">
      <c r="A7" s="347">
        <f t="shared" ca="1" si="6"/>
        <v>0.01</v>
      </c>
      <c r="B7" s="304">
        <f t="shared" ca="1" si="7"/>
        <v>0.03</v>
      </c>
      <c r="D7" s="306">
        <f t="shared" ca="1" si="8"/>
        <v>5.0075887351295458</v>
      </c>
      <c r="E7" s="307">
        <f t="shared" ca="1" si="9"/>
        <v>28.40133891913765</v>
      </c>
      <c r="F7" s="304">
        <f t="shared" ca="1" si="10"/>
        <v>28.839417423726147</v>
      </c>
      <c r="G7" s="306">
        <f t="shared" ca="1" si="11"/>
        <v>9.752771278689687E-2</v>
      </c>
      <c r="H7" s="307">
        <f t="shared" ca="1" si="12"/>
        <v>0.55314898887720476</v>
      </c>
      <c r="I7" s="304">
        <f t="shared" ca="1" si="13"/>
        <v>0.56168092246160317</v>
      </c>
      <c r="J7" s="306">
        <f t="shared" ca="1" si="14"/>
        <v>1.05542840233453E-3</v>
      </c>
      <c r="K7" s="307">
        <f t="shared" ca="1" si="15"/>
        <v>5.9861442544103249E-3</v>
      </c>
      <c r="L7" s="304">
        <f t="shared" ca="1" si="0"/>
        <v>6.0784744917671708E-3</v>
      </c>
      <c r="M7" s="306">
        <f t="shared" ca="1" si="16"/>
        <v>1.3962634015954636</v>
      </c>
      <c r="N7" s="304">
        <f t="shared" ca="1" si="17"/>
        <v>80</v>
      </c>
      <c r="P7" s="310">
        <f t="shared" ca="1" si="18"/>
        <v>2</v>
      </c>
      <c r="Q7" s="304">
        <f t="shared" ca="1" si="19"/>
        <v>549.66666666666663</v>
      </c>
      <c r="R7" s="306">
        <f t="shared" ca="1" si="20"/>
        <v>0.27534576606374267</v>
      </c>
      <c r="S7" s="307">
        <f t="shared" ca="1" si="21"/>
        <v>14.276909387276518</v>
      </c>
      <c r="T7" s="304">
        <f t="shared" ca="1" si="1"/>
        <v>140.05648108918265</v>
      </c>
      <c r="U7" s="311">
        <f t="shared" ca="1" si="2"/>
        <v>24.32055271157947</v>
      </c>
      <c r="V7" s="306">
        <f t="shared" ca="1" si="3"/>
        <v>1.2249992666975487</v>
      </c>
      <c r="W7" s="304">
        <f t="shared" ca="1" si="4"/>
        <v>8.8250122717772547E-4</v>
      </c>
      <c r="Y7" s="314" t="str">
        <f t="shared" ca="1" si="22"/>
        <v/>
      </c>
      <c r="Z7" s="315" t="str">
        <f t="shared" ca="1" si="23"/>
        <v/>
      </c>
      <c r="AA7" s="316" t="str">
        <f t="shared" ca="1" si="24"/>
        <v/>
      </c>
      <c r="AC7" s="310" t="e">
        <f t="shared" ca="1" si="25"/>
        <v>#N/A</v>
      </c>
      <c r="AD7" s="323" t="e">
        <f t="shared" ca="1" si="26"/>
        <v>#N/A</v>
      </c>
      <c r="AE7" s="324">
        <f t="shared" ca="1" si="5"/>
        <v>5.9861442544103249E-3</v>
      </c>
      <c r="AG7" s="306">
        <f t="shared" ca="1" si="27"/>
        <v>28.839417421854819</v>
      </c>
      <c r="AH7" s="304">
        <f t="shared" ca="1" si="28"/>
        <v>38.500381478904579</v>
      </c>
    </row>
    <row r="8" spans="1:248" x14ac:dyDescent="0.25">
      <c r="A8" s="347">
        <f t="shared" ca="1" si="6"/>
        <v>0.01</v>
      </c>
      <c r="B8" s="304">
        <f t="shared" ca="1" si="7"/>
        <v>0.04</v>
      </c>
      <c r="D8" s="306">
        <f t="shared" ca="1" si="8"/>
        <v>6.2034376246030014</v>
      </c>
      <c r="E8" s="307">
        <f t="shared" ca="1" si="9"/>
        <v>35.183673422206667</v>
      </c>
      <c r="F8" s="304">
        <f t="shared" ca="1" si="10"/>
        <v>35.726370006520838</v>
      </c>
      <c r="G8" s="306">
        <f t="shared" ca="1" si="11"/>
        <v>0.1595620890329269</v>
      </c>
      <c r="H8" s="307">
        <f t="shared" ca="1" si="12"/>
        <v>0.9049857230992715</v>
      </c>
      <c r="I8" s="304">
        <f t="shared" ca="1" si="13"/>
        <v>0.91894462252633213</v>
      </c>
      <c r="J8" s="306">
        <f t="shared" ca="1" si="14"/>
        <v>2.3408774114336492E-3</v>
      </c>
      <c r="K8" s="307">
        <f t="shared" ca="1" si="15"/>
        <v>1.3276817814292706E-2</v>
      </c>
      <c r="L8" s="304">
        <f t="shared" ca="1" si="0"/>
        <v>1.348160221669815E-2</v>
      </c>
      <c r="M8" s="306">
        <f t="shared" ca="1" si="16"/>
        <v>1.3962634015954636</v>
      </c>
      <c r="N8" s="304">
        <f t="shared" ca="1" si="17"/>
        <v>80</v>
      </c>
      <c r="P8" s="310">
        <f t="shared" ca="1" si="18"/>
        <v>2</v>
      </c>
      <c r="Q8" s="304">
        <f t="shared" ca="1" si="19"/>
        <v>647.84444444444443</v>
      </c>
      <c r="R8" s="306">
        <f t="shared" ca="1" si="20"/>
        <v>0.32452618225414559</v>
      </c>
      <c r="S8" s="307">
        <f t="shared" ca="1" si="21"/>
        <v>14.273664125453976</v>
      </c>
      <c r="T8" s="304">
        <f t="shared" ca="1" si="1"/>
        <v>140.02464507070351</v>
      </c>
      <c r="U8" s="311">
        <f t="shared" ca="1" si="2"/>
        <v>24.315024444986395</v>
      </c>
      <c r="V8" s="306">
        <f t="shared" ca="1" si="3"/>
        <v>1.2249983735908974</v>
      </c>
      <c r="W8" s="304">
        <f t="shared" ca="1" si="4"/>
        <v>2.3621873323473709E-3</v>
      </c>
      <c r="Y8" s="314" t="str">
        <f t="shared" ca="1" si="22"/>
        <v/>
      </c>
      <c r="Z8" s="315" t="str">
        <f t="shared" ca="1" si="23"/>
        <v/>
      </c>
      <c r="AA8" s="316" t="str">
        <f t="shared" ca="1" si="24"/>
        <v/>
      </c>
      <c r="AC8" s="310" t="e">
        <f t="shared" ca="1" si="25"/>
        <v>#N/A</v>
      </c>
      <c r="AD8" s="323" t="e">
        <f t="shared" ca="1" si="26"/>
        <v>#N/A</v>
      </c>
      <c r="AE8" s="324">
        <f t="shared" ca="1" si="5"/>
        <v>1.3276817814292706E-2</v>
      </c>
      <c r="AG8" s="306">
        <f t="shared" ca="1" si="27"/>
        <v>35.726370004421476</v>
      </c>
      <c r="AH8" s="304">
        <f t="shared" ca="1" si="28"/>
        <v>45.387334061471236</v>
      </c>
    </row>
    <row r="9" spans="1:248" x14ac:dyDescent="0.25">
      <c r="A9" s="347">
        <f t="shared" ca="1" si="6"/>
        <v>0.01</v>
      </c>
      <c r="B9" s="304">
        <f t="shared" ca="1" si="7"/>
        <v>0.05</v>
      </c>
      <c r="D9" s="306">
        <f t="shared" ca="1" si="8"/>
        <v>7.4001334533954299</v>
      </c>
      <c r="E9" s="307">
        <f t="shared" ca="1" si="9"/>
        <v>41.970811399305688</v>
      </c>
      <c r="F9" s="304">
        <f t="shared" ca="1" si="10"/>
        <v>42.618200157258521</v>
      </c>
      <c r="G9" s="306">
        <f t="shared" ca="1" si="11"/>
        <v>0.2335634235668812</v>
      </c>
      <c r="H9" s="307">
        <f t="shared" ca="1" si="12"/>
        <v>1.3246938370923285</v>
      </c>
      <c r="I9" s="304">
        <f t="shared" ca="1" si="13"/>
        <v>1.3451266240985191</v>
      </c>
      <c r="J9" s="306">
        <f t="shared" ca="1" si="14"/>
        <v>4.30650497443269E-3</v>
      </c>
      <c r="K9" s="307">
        <f t="shared" ca="1" si="15"/>
        <v>2.4425215615250705E-2</v>
      </c>
      <c r="L9" s="304">
        <f t="shared" ca="1" si="0"/>
        <v>2.4801958449814004E-2</v>
      </c>
      <c r="M9" s="306">
        <f t="shared" ca="1" si="16"/>
        <v>1.3962634015954636</v>
      </c>
      <c r="N9" s="304">
        <f t="shared" ca="1" si="17"/>
        <v>80</v>
      </c>
      <c r="P9" s="310">
        <f t="shared" ca="1" si="18"/>
        <v>2</v>
      </c>
      <c r="Q9" s="304">
        <f t="shared" ca="1" si="19"/>
        <v>746.02222222222224</v>
      </c>
      <c r="R9" s="306">
        <f t="shared" ca="1" si="20"/>
        <v>0.37370659844454851</v>
      </c>
      <c r="S9" s="307">
        <f t="shared" ca="1" si="21"/>
        <v>14.269927059469531</v>
      </c>
      <c r="T9" s="304">
        <f t="shared" ca="1" si="1"/>
        <v>139.98798445339611</v>
      </c>
      <c r="U9" s="311">
        <f t="shared" ca="1" si="2"/>
        <v>24.308658395598819</v>
      </c>
      <c r="V9" s="306">
        <f t="shared" ca="1" si="3"/>
        <v>1.2249970079147414</v>
      </c>
      <c r="W9" s="304">
        <f t="shared" ca="1" si="4"/>
        <v>5.0612933340370798E-3</v>
      </c>
      <c r="Y9" s="314" t="str">
        <f t="shared" ca="1" si="22"/>
        <v/>
      </c>
      <c r="Z9" s="315" t="str">
        <f t="shared" ca="1" si="23"/>
        <v/>
      </c>
      <c r="AA9" s="316" t="str">
        <f t="shared" ca="1" si="24"/>
        <v/>
      </c>
      <c r="AC9" s="310" t="e">
        <f t="shared" ca="1" si="25"/>
        <v>#N/A</v>
      </c>
      <c r="AD9" s="323" t="e">
        <f t="shared" ca="1" si="26"/>
        <v>#N/A</v>
      </c>
      <c r="AE9" s="324">
        <f t="shared" ca="1" si="5"/>
        <v>2.4425215615250705E-2</v>
      </c>
      <c r="AG9" s="306">
        <f t="shared" ca="1" si="27"/>
        <v>42.618200154923613</v>
      </c>
      <c r="AH9" s="304">
        <f t="shared" ca="1" si="28"/>
        <v>52.279164211973374</v>
      </c>
    </row>
    <row r="10" spans="1:248" x14ac:dyDescent="0.25">
      <c r="A10" s="347">
        <f t="shared" ca="1" si="6"/>
        <v>0.01</v>
      </c>
      <c r="B10" s="304">
        <f t="shared" ca="1" si="7"/>
        <v>6.0000000000000005E-2</v>
      </c>
      <c r="D10" s="306">
        <f t="shared" ca="1" si="8"/>
        <v>8.597795622827956</v>
      </c>
      <c r="E10" s="307">
        <f t="shared" ca="1" si="9"/>
        <v>48.763430044194536</v>
      </c>
      <c r="F10" s="304">
        <f t="shared" ca="1" si="10"/>
        <v>49.515595515422952</v>
      </c>
      <c r="G10" s="306">
        <f t="shared" ca="1" si="11"/>
        <v>0.31954137979516073</v>
      </c>
      <c r="H10" s="307">
        <f t="shared" ca="1" si="12"/>
        <v>1.8123281375342739</v>
      </c>
      <c r="I10" s="304">
        <f t="shared" ca="1" si="13"/>
        <v>1.8402825792523945</v>
      </c>
      <c r="J10" s="306">
        <f t="shared" ca="1" si="14"/>
        <v>7.0720289912428996E-3</v>
      </c>
      <c r="K10" s="307">
        <f t="shared" ca="1" si="15"/>
        <v>4.0110325488383718E-2</v>
      </c>
      <c r="L10" s="304">
        <f t="shared" ca="1" si="0"/>
        <v>4.0729004466559998E-2</v>
      </c>
      <c r="M10" s="306">
        <f t="shared" ca="1" si="16"/>
        <v>1.3962634015954636</v>
      </c>
      <c r="N10" s="304">
        <f t="shared" ca="1" si="17"/>
        <v>80</v>
      </c>
      <c r="P10" s="310">
        <f t="shared" ca="1" si="18"/>
        <v>2</v>
      </c>
      <c r="Q10" s="304">
        <f t="shared" ca="1" si="19"/>
        <v>844.2</v>
      </c>
      <c r="R10" s="306">
        <f t="shared" ca="1" si="20"/>
        <v>0.42288701463495137</v>
      </c>
      <c r="S10" s="307">
        <f t="shared" ca="1" si="21"/>
        <v>14.265698189323182</v>
      </c>
      <c r="T10" s="304">
        <f t="shared" ca="1" si="1"/>
        <v>139.94649923726041</v>
      </c>
      <c r="U10" s="311">
        <f t="shared" ca="1" si="2"/>
        <v>24.301454563416737</v>
      </c>
      <c r="V10" s="306">
        <f t="shared" ca="1" si="3"/>
        <v>1.2249950864949819</v>
      </c>
      <c r="W10" s="304">
        <f t="shared" ca="1" si="4"/>
        <v>9.473348612811721E-3</v>
      </c>
      <c r="Y10" s="314" t="str">
        <f t="shared" ca="1" si="22"/>
        <v/>
      </c>
      <c r="Z10" s="315" t="str">
        <f t="shared" ca="1" si="23"/>
        <v/>
      </c>
      <c r="AA10" s="316" t="str">
        <f t="shared" ca="1" si="24"/>
        <v/>
      </c>
      <c r="AC10" s="310" t="e">
        <f t="shared" ca="1" si="25"/>
        <v>#N/A</v>
      </c>
      <c r="AD10" s="323" t="e">
        <f t="shared" ca="1" si="26"/>
        <v>#N/A</v>
      </c>
      <c r="AE10" s="324">
        <f t="shared" ca="1" si="5"/>
        <v>4.0110325488383718E-2</v>
      </c>
      <c r="AG10" s="306">
        <f t="shared" ca="1" si="27"/>
        <v>49.515595512848009</v>
      </c>
      <c r="AH10" s="304">
        <f t="shared" ca="1" si="28"/>
        <v>59.176559569897769</v>
      </c>
    </row>
    <row r="11" spans="1:248" x14ac:dyDescent="0.25">
      <c r="A11" s="347">
        <f t="shared" ca="1" si="6"/>
        <v>0.01</v>
      </c>
      <c r="B11" s="304">
        <f t="shared" ca="1" si="7"/>
        <v>7.0000000000000007E-2</v>
      </c>
      <c r="D11" s="306">
        <f t="shared" ca="1" si="8"/>
        <v>9.7965428908767667</v>
      </c>
      <c r="E11" s="307">
        <f t="shared" ca="1" si="9"/>
        <v>55.562202902139376</v>
      </c>
      <c r="F11" s="304">
        <f t="shared" ca="1" si="10"/>
        <v>56.41924001571887</v>
      </c>
      <c r="G11" s="306">
        <f t="shared" ca="1" si="11"/>
        <v>0.41750680870392842</v>
      </c>
      <c r="H11" s="307">
        <f t="shared" ca="1" si="12"/>
        <v>2.3679501665556675</v>
      </c>
      <c r="I11" s="304">
        <f t="shared" ca="1" si="13"/>
        <v>2.4044749794092581</v>
      </c>
      <c r="J11" s="306">
        <f t="shared" ca="1" si="14"/>
        <v>1.0757269933738345E-2</v>
      </c>
      <c r="K11" s="307">
        <f t="shared" ca="1" si="15"/>
        <v>6.1011717008833427E-2</v>
      </c>
      <c r="L11" s="304">
        <f t="shared" ca="1" si="0"/>
        <v>6.1952792259859321E-2</v>
      </c>
      <c r="M11" s="306">
        <f t="shared" ca="1" si="16"/>
        <v>1.3962634015954636</v>
      </c>
      <c r="N11" s="304">
        <f t="shared" ca="1" si="17"/>
        <v>80</v>
      </c>
      <c r="P11" s="310">
        <f t="shared" ca="1" si="18"/>
        <v>2</v>
      </c>
      <c r="Q11" s="304">
        <f t="shared" ca="1" si="19"/>
        <v>942.37777777777774</v>
      </c>
      <c r="R11" s="306">
        <f t="shared" ca="1" si="20"/>
        <v>0.47206743082535424</v>
      </c>
      <c r="S11" s="307">
        <f t="shared" ca="1" si="21"/>
        <v>14.260977515014927</v>
      </c>
      <c r="T11" s="304">
        <f t="shared" ca="1" si="1"/>
        <v>139.90018942229645</v>
      </c>
      <c r="U11" s="311">
        <f t="shared" ca="1" si="2"/>
        <v>24.293412948440153</v>
      </c>
      <c r="V11" s="306">
        <f t="shared" ca="1" si="3"/>
        <v>1.2249925260874666</v>
      </c>
      <c r="W11" s="304">
        <f t="shared" ca="1" si="4"/>
        <v>1.6172386286539567E-2</v>
      </c>
      <c r="Y11" s="314" t="str">
        <f t="shared" ca="1" si="22"/>
        <v/>
      </c>
      <c r="Z11" s="315" t="str">
        <f t="shared" ca="1" si="23"/>
        <v/>
      </c>
      <c r="AA11" s="316" t="str">
        <f t="shared" ca="1" si="24"/>
        <v/>
      </c>
      <c r="AC11" s="310" t="e">
        <f t="shared" ca="1" si="25"/>
        <v>#N/A</v>
      </c>
      <c r="AD11" s="323" t="e">
        <f t="shared" ca="1" si="26"/>
        <v>#N/A</v>
      </c>
      <c r="AE11" s="324">
        <f t="shared" ca="1" si="5"/>
        <v>6.1011717008833427E-2</v>
      </c>
      <c r="AG11" s="306">
        <f t="shared" ca="1" si="27"/>
        <v>56.41924001290095</v>
      </c>
      <c r="AH11" s="304">
        <f t="shared" ca="1" si="28"/>
        <v>66.08020406995071</v>
      </c>
    </row>
    <row r="12" spans="1:248" x14ac:dyDescent="0.25">
      <c r="A12" s="347">
        <f t="shared" ca="1" si="6"/>
        <v>0.01</v>
      </c>
      <c r="B12" s="304">
        <f t="shared" ca="1" si="7"/>
        <v>0.08</v>
      </c>
      <c r="D12" s="306">
        <f t="shared" ca="1" si="8"/>
        <v>10.996493408624517</v>
      </c>
      <c r="E12" s="307">
        <f t="shared" ca="1" si="9"/>
        <v>62.367800076651278</v>
      </c>
      <c r="F12" s="304">
        <f t="shared" ca="1" si="10"/>
        <v>63.329814097998629</v>
      </c>
      <c r="G12" s="306">
        <f t="shared" ca="1" si="11"/>
        <v>0.52747174279017361</v>
      </c>
      <c r="H12" s="307">
        <f t="shared" ca="1" si="12"/>
        <v>2.9916281673221805</v>
      </c>
      <c r="I12" s="304">
        <f t="shared" ca="1" si="13"/>
        <v>3.037773120388942</v>
      </c>
      <c r="J12" s="306">
        <f t="shared" ca="1" si="14"/>
        <v>1.5482162691208855E-2</v>
      </c>
      <c r="K12" s="307">
        <f t="shared" ca="1" si="15"/>
        <v>8.780960867822267E-2</v>
      </c>
      <c r="L12" s="304">
        <f t="shared" ca="1" si="0"/>
        <v>8.9164032758840925E-2</v>
      </c>
      <c r="M12" s="306">
        <f t="shared" ca="1" si="16"/>
        <v>1.3962634015954636</v>
      </c>
      <c r="N12" s="304">
        <f t="shared" ca="1" si="17"/>
        <v>80</v>
      </c>
      <c r="P12" s="310">
        <f t="shared" ca="1" si="18"/>
        <v>2</v>
      </c>
      <c r="Q12" s="304">
        <f t="shared" ca="1" si="19"/>
        <v>1040.5555555555557</v>
      </c>
      <c r="R12" s="306">
        <f t="shared" ca="1" si="20"/>
        <v>0.52124784701575722</v>
      </c>
      <c r="S12" s="307">
        <f t="shared" ca="1" si="21"/>
        <v>14.255765036544769</v>
      </c>
      <c r="T12" s="304">
        <f t="shared" ca="1" si="1"/>
        <v>139.84905500850419</v>
      </c>
      <c r="U12" s="311">
        <f t="shared" ca="1" si="2"/>
        <v>24.28453355066906</v>
      </c>
      <c r="V12" s="306">
        <f t="shared" ca="1" si="3"/>
        <v>1.2249892433701639</v>
      </c>
      <c r="W12" s="304">
        <f t="shared" ca="1" si="4"/>
        <v>2.5813273788452148E-2</v>
      </c>
      <c r="Y12" s="314" t="str">
        <f t="shared" ca="1" si="22"/>
        <v/>
      </c>
      <c r="Z12" s="315" t="str">
        <f t="shared" ca="1" si="23"/>
        <v/>
      </c>
      <c r="AA12" s="316" t="str">
        <f t="shared" ca="1" si="24"/>
        <v/>
      </c>
      <c r="AC12" s="310" t="e">
        <f t="shared" ca="1" si="25"/>
        <v>#N/A</v>
      </c>
      <c r="AD12" s="323" t="e">
        <f t="shared" ca="1" si="26"/>
        <v>#N/A</v>
      </c>
      <c r="AE12" s="324">
        <f t="shared" ca="1" si="5"/>
        <v>8.780960867822267E-2</v>
      </c>
      <c r="AG12" s="306">
        <f t="shared" ca="1" si="27"/>
        <v>63.329814094935621</v>
      </c>
      <c r="AH12" s="304">
        <f t="shared" ca="1" si="28"/>
        <v>72.990778151985381</v>
      </c>
    </row>
    <row r="13" spans="1:248" x14ac:dyDescent="0.25">
      <c r="A13" s="347">
        <f t="shared" ca="1" si="6"/>
        <v>0.01</v>
      </c>
      <c r="B13" s="304">
        <f t="shared" ca="1" si="7"/>
        <v>0.09</v>
      </c>
      <c r="D13" s="306">
        <f t="shared" ca="1" si="8"/>
        <v>12.197764756003535</v>
      </c>
      <c r="E13" s="307">
        <f t="shared" ca="1" si="9"/>
        <v>69.18088843220832</v>
      </c>
      <c r="F13" s="304">
        <f t="shared" ca="1" si="10"/>
        <v>70.247994913110915</v>
      </c>
      <c r="G13" s="306">
        <f t="shared" ca="1" si="11"/>
        <v>0.64944939035020899</v>
      </c>
      <c r="H13" s="307">
        <f t="shared" ca="1" si="12"/>
        <v>3.6834370516442636</v>
      </c>
      <c r="I13" s="304">
        <f t="shared" ca="1" si="13"/>
        <v>3.7402530695197678</v>
      </c>
      <c r="J13" s="306">
        <f t="shared" ca="1" si="14"/>
        <v>2.1366768356910766E-2</v>
      </c>
      <c r="K13" s="307">
        <f t="shared" ca="1" si="15"/>
        <v>0.12118493477305489</v>
      </c>
      <c r="L13" s="304">
        <f t="shared" ca="1" si="0"/>
        <v>0.12305416370837458</v>
      </c>
      <c r="M13" s="306">
        <f t="shared" ca="1" si="16"/>
        <v>1.3962634015954636</v>
      </c>
      <c r="N13" s="304">
        <f t="shared" ca="1" si="17"/>
        <v>80</v>
      </c>
      <c r="P13" s="310">
        <f t="shared" ca="1" si="18"/>
        <v>2</v>
      </c>
      <c r="Q13" s="304">
        <f t="shared" ca="1" si="19"/>
        <v>1138.7333333333331</v>
      </c>
      <c r="R13" s="306">
        <f t="shared" ca="1" si="20"/>
        <v>0.57042826320615991</v>
      </c>
      <c r="S13" s="307">
        <f t="shared" ca="1" si="21"/>
        <v>14.250060753912708</v>
      </c>
      <c r="T13" s="304">
        <f t="shared" ca="1" si="1"/>
        <v>139.79309599588368</v>
      </c>
      <c r="U13" s="311">
        <f t="shared" ca="1" si="2"/>
        <v>24.274816370103466</v>
      </c>
      <c r="V13" s="306">
        <f t="shared" ca="1" si="3"/>
        <v>1.22498515493544</v>
      </c>
      <c r="W13" s="304">
        <f t="shared" ca="1" si="4"/>
        <v>3.913208105753857E-2</v>
      </c>
      <c r="Y13" s="314" t="str">
        <f t="shared" ca="1" si="22"/>
        <v/>
      </c>
      <c r="Z13" s="315" t="str">
        <f t="shared" ca="1" si="23"/>
        <v/>
      </c>
      <c r="AA13" s="316" t="str">
        <f t="shared" ca="1" si="24"/>
        <v/>
      </c>
      <c r="AC13" s="310" t="e">
        <f t="shared" ca="1" si="25"/>
        <v>#N/A</v>
      </c>
      <c r="AD13" s="323" t="e">
        <f t="shared" ca="1" si="26"/>
        <v>#N/A</v>
      </c>
      <c r="AE13" s="324">
        <f t="shared" ca="1" si="5"/>
        <v>0.12118493477305489</v>
      </c>
      <c r="AG13" s="306">
        <f t="shared" ca="1" si="27"/>
        <v>70.247994909801264</v>
      </c>
      <c r="AH13" s="304">
        <f t="shared" ca="1" si="28"/>
        <v>79.908958966851031</v>
      </c>
    </row>
    <row r="14" spans="1:248" x14ac:dyDescent="0.25">
      <c r="A14" s="347">
        <f t="shared" ca="1" si="6"/>
        <v>0.01</v>
      </c>
      <c r="B14" s="304">
        <f t="shared" ca="1" si="7"/>
        <v>9.9999999999999992E-2</v>
      </c>
      <c r="D14" s="306">
        <f t="shared" ca="1" si="8"/>
        <v>13.400473976859486</v>
      </c>
      <c r="E14" s="307">
        <f t="shared" ca="1" si="9"/>
        <v>76.002131793124121</v>
      </c>
      <c r="F14" s="304">
        <f t="shared" ca="1" si="10"/>
        <v>77.174456524836614</v>
      </c>
      <c r="G14" s="306">
        <f t="shared" ca="1" si="11"/>
        <v>0.78345413011880383</v>
      </c>
      <c r="H14" s="307">
        <f t="shared" ca="1" si="12"/>
        <v>4.443458369575505</v>
      </c>
      <c r="I14" s="304">
        <f t="shared" ca="1" si="13"/>
        <v>4.5119976347678659</v>
      </c>
      <c r="J14" s="306">
        <f t="shared" ca="1" si="14"/>
        <v>2.8531285959255831E-2</v>
      </c>
      <c r="K14" s="307">
        <f t="shared" ca="1" si="15"/>
        <v>0.16181941187915372</v>
      </c>
      <c r="L14" s="304">
        <f t="shared" ca="1" si="0"/>
        <v>0.16431541722980234</v>
      </c>
      <c r="M14" s="306">
        <f t="shared" ca="1" si="16"/>
        <v>1.3962634015954636</v>
      </c>
      <c r="N14" s="304">
        <f t="shared" ca="1" si="17"/>
        <v>80</v>
      </c>
      <c r="P14" s="310">
        <f t="shared" ca="1" si="18"/>
        <v>2</v>
      </c>
      <c r="Q14" s="304">
        <f t="shared" ca="1" si="19"/>
        <v>1236.911111111111</v>
      </c>
      <c r="R14" s="306">
        <f t="shared" ca="1" si="20"/>
        <v>0.61960867939656283</v>
      </c>
      <c r="S14" s="307">
        <f t="shared" ca="1" si="21"/>
        <v>14.243864667118743</v>
      </c>
      <c r="T14" s="304">
        <f t="shared" ca="1" si="1"/>
        <v>139.73231238443486</v>
      </c>
      <c r="U14" s="311">
        <f t="shared" ca="1" si="2"/>
        <v>24.264261406743366</v>
      </c>
      <c r="V14" s="306">
        <f t="shared" ca="1" si="3"/>
        <v>1.22498017728243</v>
      </c>
      <c r="W14" s="304">
        <f t="shared" ca="1" si="4"/>
        <v>5.6946486011172762E-2</v>
      </c>
      <c r="Y14" s="314" t="str">
        <f t="shared" ca="1" si="22"/>
        <v/>
      </c>
      <c r="Z14" s="315" t="str">
        <f t="shared" ca="1" si="23"/>
        <v/>
      </c>
      <c r="AA14" s="316" t="str">
        <f t="shared" ca="1" si="24"/>
        <v/>
      </c>
      <c r="AC14" s="310" t="e">
        <f t="shared" ca="1" si="25"/>
        <v>#N/A</v>
      </c>
      <c r="AD14" s="323" t="e">
        <f t="shared" ca="1" si="26"/>
        <v>#N/A</v>
      </c>
      <c r="AE14" s="324">
        <f t="shared" ca="1" si="5"/>
        <v>0.16181941187915372</v>
      </c>
      <c r="AG14" s="306">
        <f t="shared" ca="1" si="27"/>
        <v>77.174456521279041</v>
      </c>
      <c r="AH14" s="304">
        <f t="shared" ca="1" si="28"/>
        <v>86.835420578328808</v>
      </c>
    </row>
    <row r="15" spans="1:248" x14ac:dyDescent="0.25">
      <c r="A15" s="347">
        <f t="shared" ca="1" si="6"/>
        <v>0.01</v>
      </c>
      <c r="B15" s="304">
        <f t="shared" ca="1" si="7"/>
        <v>0.10999999999999999</v>
      </c>
      <c r="D15" s="306">
        <f t="shared" ca="1" si="8"/>
        <v>13.917306862241933</v>
      </c>
      <c r="E15" s="307">
        <f t="shared" ca="1" si="9"/>
        <v>78.933383069195301</v>
      </c>
      <c r="F15" s="304">
        <f t="shared" ca="1" si="10"/>
        <v>80.150922596350284</v>
      </c>
      <c r="G15" s="306">
        <f t="shared" ca="1" si="11"/>
        <v>0.92262719874122312</v>
      </c>
      <c r="H15" s="307">
        <f t="shared" ca="1" si="12"/>
        <v>5.2327922002674576</v>
      </c>
      <c r="I15" s="304">
        <f t="shared" ca="1" si="13"/>
        <v>5.3135068607311515</v>
      </c>
      <c r="J15" s="306">
        <f t="shared" ca="1" si="14"/>
        <v>3.7061692603555962E-2</v>
      </c>
      <c r="K15" s="307">
        <f t="shared" ca="1" si="15"/>
        <v>0.21020066472836854</v>
      </c>
      <c r="L15" s="304">
        <f t="shared" ca="1" si="0"/>
        <v>0.21344293970728681</v>
      </c>
      <c r="M15" s="306">
        <f t="shared" ca="1" si="16"/>
        <v>1.3962634015954636</v>
      </c>
      <c r="N15" s="304">
        <f t="shared" ca="1" si="17"/>
        <v>80</v>
      </c>
      <c r="P15" s="310">
        <f t="shared" ca="1" si="18"/>
        <v>3</v>
      </c>
      <c r="Q15" s="304">
        <f t="shared" ca="1" si="19"/>
        <v>1278.75</v>
      </c>
      <c r="R15" s="306">
        <f t="shared" ca="1" si="20"/>
        <v>0.64056712860038389</v>
      </c>
      <c r="S15" s="307">
        <f t="shared" ca="1" si="21"/>
        <v>14.237458995832739</v>
      </c>
      <c r="T15" s="304">
        <f t="shared" ca="1" si="1"/>
        <v>139.66947274911917</v>
      </c>
      <c r="U15" s="311">
        <f t="shared" ca="1" si="2"/>
        <v>24.25334941858554</v>
      </c>
      <c r="V15" s="306">
        <f t="shared" ca="1" si="3"/>
        <v>1.224974250689197</v>
      </c>
      <c r="W15" s="304">
        <f t="shared" ca="1" si="4"/>
        <v>7.8974992591196197E-2</v>
      </c>
      <c r="Y15" s="314" t="str">
        <f t="shared" ca="1" si="22"/>
        <v/>
      </c>
      <c r="Z15" s="315" t="str">
        <f t="shared" ca="1" si="23"/>
        <v/>
      </c>
      <c r="AA15" s="316" t="str">
        <f t="shared" ca="1" si="24"/>
        <v/>
      </c>
      <c r="AC15" s="310" t="e">
        <f t="shared" ca="1" si="25"/>
        <v>#N/A</v>
      </c>
      <c r="AD15" s="323" t="e">
        <f t="shared" ca="1" si="26"/>
        <v>#N/A</v>
      </c>
      <c r="AE15" s="324">
        <f t="shared" ca="1" si="5"/>
        <v>0.21020066472836854</v>
      </c>
      <c r="AG15" s="306">
        <f t="shared" ca="1" si="27"/>
        <v>80.150922592685873</v>
      </c>
      <c r="AH15" s="304">
        <f t="shared" ca="1" si="28"/>
        <v>89.811886649735627</v>
      </c>
    </row>
    <row r="16" spans="1:248" x14ac:dyDescent="0.25">
      <c r="A16" s="347">
        <f t="shared" ca="1" si="6"/>
        <v>0.01</v>
      </c>
      <c r="B16" s="304">
        <f t="shared" ca="1" si="7"/>
        <v>0.11999999999999998</v>
      </c>
      <c r="D16" s="306">
        <f t="shared" ca="1" si="8"/>
        <v>13.747057594852553</v>
      </c>
      <c r="E16" s="307">
        <f t="shared" ca="1" si="9"/>
        <v>77.967803388490282</v>
      </c>
      <c r="F16" s="304">
        <f t="shared" ca="1" si="10"/>
        <v>79.170448765574577</v>
      </c>
      <c r="G16" s="306">
        <f t="shared" ca="1" si="11"/>
        <v>1.0600977746897486</v>
      </c>
      <c r="H16" s="307">
        <f t="shared" ca="1" si="12"/>
        <v>6.0124702341523601</v>
      </c>
      <c r="I16" s="304">
        <f t="shared" ca="1" si="13"/>
        <v>6.105211348386745</v>
      </c>
      <c r="J16" s="306">
        <f t="shared" ca="1" si="14"/>
        <v>4.697531747071082E-2</v>
      </c>
      <c r="K16" s="307">
        <f t="shared" ca="1" si="15"/>
        <v>0.26642697690046763</v>
      </c>
      <c r="L16" s="304">
        <f t="shared" ca="1" si="0"/>
        <v>0.27053653075286593</v>
      </c>
      <c r="M16" s="306">
        <f t="shared" ca="1" si="16"/>
        <v>1.3962634015954636</v>
      </c>
      <c r="N16" s="304">
        <f t="shared" ca="1" si="17"/>
        <v>80</v>
      </c>
      <c r="P16" s="310">
        <f t="shared" ca="1" si="18"/>
        <v>3</v>
      </c>
      <c r="Q16" s="304">
        <f t="shared" ca="1" si="19"/>
        <v>1264.25</v>
      </c>
      <c r="R16" s="306">
        <f t="shared" ca="1" si="20"/>
        <v>0.63330361081762288</v>
      </c>
      <c r="S16" s="307">
        <f t="shared" ca="1" si="21"/>
        <v>14.231125959724563</v>
      </c>
      <c r="T16" s="304">
        <f t="shared" ca="1" si="1"/>
        <v>139.60734566489796</v>
      </c>
      <c r="U16" s="311">
        <f t="shared" ca="1" si="2"/>
        <v>24.242561163626767</v>
      </c>
      <c r="V16" s="306">
        <f t="shared" ca="1" si="3"/>
        <v>1.2249673631300968</v>
      </c>
      <c r="W16" s="304">
        <f t="shared" ca="1" si="4"/>
        <v>0.10426200354151066</v>
      </c>
      <c r="Y16" s="314" t="str">
        <f t="shared" ca="1" si="22"/>
        <v/>
      </c>
      <c r="Z16" s="315" t="str">
        <f t="shared" ca="1" si="23"/>
        <v/>
      </c>
      <c r="AA16" s="316" t="str">
        <f t="shared" ca="1" si="24"/>
        <v/>
      </c>
      <c r="AC16" s="310" t="e">
        <f t="shared" ca="1" si="25"/>
        <v>#N/A</v>
      </c>
      <c r="AD16" s="323" t="e">
        <f t="shared" ca="1" si="26"/>
        <v>#N/A</v>
      </c>
      <c r="AE16" s="324">
        <f t="shared" ca="1" si="5"/>
        <v>0.26642697690046763</v>
      </c>
      <c r="AG16" s="306">
        <f t="shared" ca="1" si="27"/>
        <v>79.17044876194521</v>
      </c>
      <c r="AH16" s="304">
        <f t="shared" ca="1" si="28"/>
        <v>88.831412818994977</v>
      </c>
    </row>
    <row r="17" spans="1:34" x14ac:dyDescent="0.25">
      <c r="A17" s="347">
        <f t="shared" ca="1" si="6"/>
        <v>0.01</v>
      </c>
      <c r="B17" s="304">
        <f t="shared" ca="1" si="7"/>
        <v>0.12999999999999998</v>
      </c>
      <c r="D17" s="306">
        <f t="shared" ca="1" si="8"/>
        <v>13.571305286819198</v>
      </c>
      <c r="E17" s="307">
        <f t="shared" ca="1" si="9"/>
        <v>76.971012867347042</v>
      </c>
      <c r="F17" s="304">
        <f t="shared" ca="1" si="10"/>
        <v>78.158282664176753</v>
      </c>
      <c r="G17" s="306">
        <f t="shared" ca="1" si="11"/>
        <v>1.1958108275579407</v>
      </c>
      <c r="H17" s="307">
        <f t="shared" ca="1" si="12"/>
        <v>6.7821803628258301</v>
      </c>
      <c r="I17" s="304">
        <f t="shared" ca="1" si="13"/>
        <v>6.8867941750284016</v>
      </c>
      <c r="J17" s="306">
        <f t="shared" ca="1" si="14"/>
        <v>5.8254860481949264E-2</v>
      </c>
      <c r="K17" s="307">
        <f t="shared" ca="1" si="15"/>
        <v>0.33040022988535855</v>
      </c>
      <c r="L17" s="304">
        <f t="shared" ca="1" si="0"/>
        <v>0.33549655836993192</v>
      </c>
      <c r="M17" s="306">
        <f t="shared" ca="1" si="16"/>
        <v>1.3962634015954636</v>
      </c>
      <c r="N17" s="304">
        <f t="shared" ca="1" si="17"/>
        <v>80</v>
      </c>
      <c r="P17" s="310">
        <f t="shared" ca="1" si="18"/>
        <v>4</v>
      </c>
      <c r="Q17" s="304">
        <f t="shared" ca="1" si="19"/>
        <v>1249.3214285714287</v>
      </c>
      <c r="R17" s="306">
        <f t="shared" ca="1" si="20"/>
        <v>0.62582540778019913</v>
      </c>
      <c r="S17" s="307">
        <f t="shared" ca="1" si="21"/>
        <v>14.224867705646762</v>
      </c>
      <c r="T17" s="304">
        <f t="shared" ca="1" si="1"/>
        <v>139.54595219239474</v>
      </c>
      <c r="U17" s="311">
        <f t="shared" ca="1" si="2"/>
        <v>24.23190029900594</v>
      </c>
      <c r="V17" s="306">
        <f t="shared" ca="1" si="3"/>
        <v>1.2249595266404594</v>
      </c>
      <c r="W17" s="304">
        <f t="shared" ca="1" si="4"/>
        <v>0.13266491686752332</v>
      </c>
      <c r="Y17" s="314" t="str">
        <f t="shared" ca="1" si="22"/>
        <v/>
      </c>
      <c r="Z17" s="315" t="str">
        <f t="shared" ca="1" si="23"/>
        <v/>
      </c>
      <c r="AA17" s="316" t="str">
        <f t="shared" ca="1" si="24"/>
        <v/>
      </c>
      <c r="AC17" s="310" t="e">
        <f t="shared" ca="1" si="25"/>
        <v>#N/A</v>
      </c>
      <c r="AD17" s="323" t="e">
        <f t="shared" ca="1" si="26"/>
        <v>#N/A</v>
      </c>
      <c r="AE17" s="324">
        <f t="shared" ca="1" si="5"/>
        <v>0.33040022988535855</v>
      </c>
      <c r="AG17" s="306">
        <f t="shared" ca="1" si="27"/>
        <v>78.158282660583524</v>
      </c>
      <c r="AH17" s="304">
        <f t="shared" ca="1" si="28"/>
        <v>87.819246717633291</v>
      </c>
    </row>
    <row r="18" spans="1:34" x14ac:dyDescent="0.25">
      <c r="A18" s="347">
        <f t="shared" ca="1" si="6"/>
        <v>0.01</v>
      </c>
      <c r="B18" s="304">
        <f t="shared" ca="1" si="7"/>
        <v>0.13999999999999999</v>
      </c>
      <c r="D18" s="306">
        <f t="shared" ca="1" si="8"/>
        <v>13.390044911348287</v>
      </c>
      <c r="E18" s="307">
        <f t="shared" ca="1" si="9"/>
        <v>75.942982995500543</v>
      </c>
      <c r="F18" s="304">
        <f t="shared" ca="1" si="10"/>
        <v>77.114395342133164</v>
      </c>
      <c r="G18" s="306">
        <f t="shared" ca="1" si="11"/>
        <v>1.3297112766714236</v>
      </c>
      <c r="H18" s="307">
        <f t="shared" ca="1" si="12"/>
        <v>7.5416101927808352</v>
      </c>
      <c r="I18" s="304">
        <f t="shared" ca="1" si="13"/>
        <v>7.6579381284496506</v>
      </c>
      <c r="J18" s="306">
        <f t="shared" ca="1" si="14"/>
        <v>7.0882471003096081E-2</v>
      </c>
      <c r="K18" s="307">
        <f t="shared" ca="1" si="15"/>
        <v>0.40201918266339187</v>
      </c>
      <c r="L18" s="304">
        <f t="shared" ca="1" si="0"/>
        <v>0.40822021988731327</v>
      </c>
      <c r="M18" s="306">
        <f t="shared" ca="1" si="16"/>
        <v>1.3962634015954636</v>
      </c>
      <c r="N18" s="304">
        <f t="shared" ca="1" si="17"/>
        <v>80</v>
      </c>
      <c r="P18" s="310">
        <f t="shared" ca="1" si="18"/>
        <v>4</v>
      </c>
      <c r="Q18" s="304">
        <f t="shared" ca="1" si="19"/>
        <v>1233.9642857142858</v>
      </c>
      <c r="R18" s="306">
        <f t="shared" ca="1" si="20"/>
        <v>0.61813251948811243</v>
      </c>
      <c r="S18" s="307">
        <f t="shared" ca="1" si="21"/>
        <v>14.218686380451881</v>
      </c>
      <c r="T18" s="304">
        <f t="shared" ca="1" si="1"/>
        <v>139.48531339223297</v>
      </c>
      <c r="U18" s="311">
        <f t="shared" ca="1" si="2"/>
        <v>24.221370481861939</v>
      </c>
      <c r="V18" s="306">
        <f t="shared" ca="1" si="3"/>
        <v>1.2249507536400228</v>
      </c>
      <c r="W18" s="304">
        <f t="shared" ca="1" si="4"/>
        <v>0.16403724937371536</v>
      </c>
      <c r="Y18" s="314" t="str">
        <f t="shared" ca="1" si="22"/>
        <v/>
      </c>
      <c r="Z18" s="315" t="str">
        <f t="shared" ca="1" si="23"/>
        <v/>
      </c>
      <c r="AA18" s="316" t="str">
        <f t="shared" ca="1" si="24"/>
        <v/>
      </c>
      <c r="AC18" s="310" t="e">
        <f t="shared" ca="1" si="25"/>
        <v>#N/A</v>
      </c>
      <c r="AD18" s="323" t="e">
        <f t="shared" ca="1" si="26"/>
        <v>#N/A</v>
      </c>
      <c r="AE18" s="324">
        <f t="shared" ca="1" si="5"/>
        <v>0.40201918266339187</v>
      </c>
      <c r="AG18" s="306">
        <f t="shared" ca="1" si="27"/>
        <v>77.114395338577197</v>
      </c>
      <c r="AH18" s="304">
        <f t="shared" ca="1" si="28"/>
        <v>86.775359395626964</v>
      </c>
    </row>
    <row r="19" spans="1:34" x14ac:dyDescent="0.25">
      <c r="A19" s="347">
        <f t="shared" ca="1" si="6"/>
        <v>0.01</v>
      </c>
      <c r="B19" s="304">
        <f t="shared" ca="1" si="7"/>
        <v>0.15</v>
      </c>
      <c r="D19" s="306">
        <f t="shared" ca="1" si="8"/>
        <v>13.208510012465975</v>
      </c>
      <c r="E19" s="307">
        <f t="shared" ca="1" si="9"/>
        <v>74.913396156679639</v>
      </c>
      <c r="F19" s="304">
        <f t="shared" ca="1" si="10"/>
        <v>76.068927036451868</v>
      </c>
      <c r="G19" s="306">
        <f t="shared" ca="1" si="11"/>
        <v>1.4617963767960833</v>
      </c>
      <c r="H19" s="307">
        <f t="shared" ca="1" si="12"/>
        <v>8.2907441543476317</v>
      </c>
      <c r="I19" s="304">
        <f t="shared" ca="1" si="13"/>
        <v>8.4186273988141078</v>
      </c>
      <c r="J19" s="306">
        <f t="shared" ca="1" si="14"/>
        <v>8.4840009270433614E-2</v>
      </c>
      <c r="K19" s="307">
        <f t="shared" ca="1" si="15"/>
        <v>0.48118095439903419</v>
      </c>
      <c r="L19" s="304">
        <f t="shared" ca="1" si="0"/>
        <v>0.48860304752362388</v>
      </c>
      <c r="M19" s="306">
        <f t="shared" ca="1" si="16"/>
        <v>1.3962634015954636</v>
      </c>
      <c r="N19" s="304">
        <f t="shared" ca="1" si="17"/>
        <v>80</v>
      </c>
      <c r="P19" s="310">
        <f t="shared" ca="1" si="18"/>
        <v>4</v>
      </c>
      <c r="Q19" s="304">
        <f t="shared" ca="1" si="19"/>
        <v>1218.6071428571429</v>
      </c>
      <c r="R19" s="306">
        <f t="shared" ca="1" si="20"/>
        <v>0.61043963119602562</v>
      </c>
      <c r="S19" s="307">
        <f t="shared" ca="1" si="21"/>
        <v>14.212581984139922</v>
      </c>
      <c r="T19" s="304">
        <f t="shared" ca="1" si="1"/>
        <v>139.42542926441263</v>
      </c>
      <c r="U19" s="311">
        <f t="shared" ca="1" si="2"/>
        <v>24.210971712194763</v>
      </c>
      <c r="V19" s="306">
        <f t="shared" ca="1" si="3"/>
        <v>1.2249410567512045</v>
      </c>
      <c r="W19" s="304">
        <f t="shared" ca="1" si="4"/>
        <v>0.1982430226526804</v>
      </c>
      <c r="Y19" s="314" t="str">
        <f t="shared" ca="1" si="22"/>
        <v/>
      </c>
      <c r="Z19" s="315" t="str">
        <f t="shared" ca="1" si="23"/>
        <v/>
      </c>
      <c r="AA19" s="316" t="str">
        <f t="shared" ca="1" si="24"/>
        <v/>
      </c>
      <c r="AC19" s="310" t="e">
        <f t="shared" ca="1" si="25"/>
        <v>#N/A</v>
      </c>
      <c r="AD19" s="323" t="e">
        <f t="shared" ca="1" si="26"/>
        <v>#N/A</v>
      </c>
      <c r="AE19" s="324">
        <f t="shared" ca="1" si="5"/>
        <v>0.48118095439903419</v>
      </c>
      <c r="AG19" s="306">
        <f t="shared" ca="1" si="27"/>
        <v>76.068927032933175</v>
      </c>
      <c r="AH19" s="304">
        <f t="shared" ca="1" si="28"/>
        <v>85.729891089982942</v>
      </c>
    </row>
    <row r="20" spans="1:34" x14ac:dyDescent="0.25">
      <c r="A20" s="347">
        <f t="shared" ca="1" si="6"/>
        <v>0.01</v>
      </c>
      <c r="B20" s="304">
        <f t="shared" ca="1" si="7"/>
        <v>0.16</v>
      </c>
      <c r="D20" s="306">
        <f t="shared" ca="1" si="8"/>
        <v>13.026704847420872</v>
      </c>
      <c r="E20" s="307">
        <f t="shared" ca="1" si="9"/>
        <v>73.882276495687023</v>
      </c>
      <c r="F20" s="304">
        <f t="shared" ca="1" si="10"/>
        <v>75.021902264385204</v>
      </c>
      <c r="G20" s="306">
        <f t="shared" ca="1" si="11"/>
        <v>1.5920634252702921</v>
      </c>
      <c r="H20" s="307">
        <f t="shared" ca="1" si="12"/>
        <v>9.0295669193045018</v>
      </c>
      <c r="I20" s="304">
        <f t="shared" ca="1" si="13"/>
        <v>9.1688464214579124</v>
      </c>
      <c r="J20" s="306">
        <f t="shared" ca="1" si="14"/>
        <v>0.10010930828076549</v>
      </c>
      <c r="K20" s="307">
        <f t="shared" ca="1" si="15"/>
        <v>0.56778250976729483</v>
      </c>
      <c r="L20" s="304">
        <f t="shared" ca="1" si="0"/>
        <v>0.57654041662497657</v>
      </c>
      <c r="M20" s="306">
        <f t="shared" ca="1" si="16"/>
        <v>1.3962634015954636</v>
      </c>
      <c r="N20" s="304">
        <f t="shared" ca="1" si="17"/>
        <v>80</v>
      </c>
      <c r="P20" s="310">
        <f t="shared" ca="1" si="18"/>
        <v>4</v>
      </c>
      <c r="Q20" s="304">
        <f t="shared" ca="1" si="19"/>
        <v>1203.25</v>
      </c>
      <c r="R20" s="306">
        <f t="shared" ca="1" si="20"/>
        <v>0.60274674290393893</v>
      </c>
      <c r="S20" s="307">
        <f t="shared" ca="1" si="21"/>
        <v>14.206554516710883</v>
      </c>
      <c r="T20" s="304">
        <f t="shared" ca="1" si="1"/>
        <v>139.36629980893377</v>
      </c>
      <c r="U20" s="311">
        <f t="shared" ca="1" si="2"/>
        <v>24.200703990004424</v>
      </c>
      <c r="V20" s="306">
        <f t="shared" ca="1" si="3"/>
        <v>1.2249304486170567</v>
      </c>
      <c r="W20" s="304">
        <f t="shared" ca="1" si="4"/>
        <v>0.2351478268948719</v>
      </c>
      <c r="Y20" s="314" t="str">
        <f t="shared" ca="1" si="22"/>
        <v/>
      </c>
      <c r="Z20" s="315" t="str">
        <f t="shared" ca="1" si="23"/>
        <v/>
      </c>
      <c r="AA20" s="316" t="str">
        <f t="shared" ca="1" si="24"/>
        <v/>
      </c>
      <c r="AC20" s="310" t="e">
        <f t="shared" ca="1" si="25"/>
        <v>#N/A</v>
      </c>
      <c r="AD20" s="323" t="e">
        <f t="shared" ca="1" si="26"/>
        <v>#N/A</v>
      </c>
      <c r="AE20" s="324">
        <f t="shared" ca="1" si="5"/>
        <v>0.56778250976729483</v>
      </c>
      <c r="AG20" s="306">
        <f t="shared" ca="1" si="27"/>
        <v>75.021902260903829</v>
      </c>
      <c r="AH20" s="304">
        <f t="shared" ca="1" si="28"/>
        <v>84.682866317953582</v>
      </c>
    </row>
    <row r="21" spans="1:34" x14ac:dyDescent="0.25">
      <c r="A21" s="347">
        <f t="shared" ca="1" si="6"/>
        <v>0.01</v>
      </c>
      <c r="B21" s="304">
        <f t="shared" ca="1" si="7"/>
        <v>0.17</v>
      </c>
      <c r="D21" s="306">
        <f t="shared" ca="1" si="8"/>
        <v>12.844633670339203</v>
      </c>
      <c r="E21" s="307">
        <f t="shared" ca="1" si="9"/>
        <v>72.849648139620882</v>
      </c>
      <c r="F21" s="304">
        <f t="shared" ca="1" si="10"/>
        <v>73.973345525207804</v>
      </c>
      <c r="G21" s="306">
        <f t="shared" ca="1" si="11"/>
        <v>1.7205097619736842</v>
      </c>
      <c r="H21" s="307">
        <f t="shared" ca="1" si="12"/>
        <v>9.7580634007007099</v>
      </c>
      <c r="I21" s="304">
        <f t="shared" ca="1" si="13"/>
        <v>9.908579876709954</v>
      </c>
      <c r="J21" s="306">
        <f t="shared" ca="1" si="14"/>
        <v>0.11667217421698536</v>
      </c>
      <c r="K21" s="307">
        <f t="shared" ca="1" si="15"/>
        <v>0.66172066136732088</v>
      </c>
      <c r="L21" s="304">
        <f t="shared" ca="1" si="0"/>
        <v>0.67192754811580924</v>
      </c>
      <c r="M21" s="306">
        <f t="shared" ca="1" si="16"/>
        <v>1.3962634015954636</v>
      </c>
      <c r="N21" s="304">
        <f t="shared" ca="1" si="17"/>
        <v>80</v>
      </c>
      <c r="P21" s="310">
        <f t="shared" ca="1" si="18"/>
        <v>4</v>
      </c>
      <c r="Q21" s="304">
        <f t="shared" ca="1" si="19"/>
        <v>1187.8928571428571</v>
      </c>
      <c r="R21" s="306">
        <f t="shared" ca="1" si="20"/>
        <v>0.59505385461185212</v>
      </c>
      <c r="S21" s="307">
        <f t="shared" ca="1" si="21"/>
        <v>14.200603978164764</v>
      </c>
      <c r="T21" s="304">
        <f t="shared" ca="1" si="1"/>
        <v>139.30792502579635</v>
      </c>
      <c r="U21" s="311">
        <f t="shared" ca="1" si="2"/>
        <v>24.190567315290906</v>
      </c>
      <c r="V21" s="306">
        <f t="shared" ca="1" si="3"/>
        <v>1.2249189419008735</v>
      </c>
      <c r="W21" s="304">
        <f t="shared" ca="1" si="4"/>
        <v>0.27461883643680357</v>
      </c>
      <c r="Y21" s="314" t="str">
        <f t="shared" ca="1" si="22"/>
        <v/>
      </c>
      <c r="Z21" s="315" t="str">
        <f t="shared" ca="1" si="23"/>
        <v/>
      </c>
      <c r="AA21" s="316" t="str">
        <f t="shared" ca="1" si="24"/>
        <v/>
      </c>
      <c r="AC21" s="310" t="e">
        <f t="shared" ca="1" si="25"/>
        <v>#N/A</v>
      </c>
      <c r="AD21" s="323" t="e">
        <f t="shared" ca="1" si="26"/>
        <v>#N/A</v>
      </c>
      <c r="AE21" s="324">
        <f t="shared" ca="1" si="5"/>
        <v>0.66172066136732088</v>
      </c>
      <c r="AG21" s="306">
        <f t="shared" ca="1" si="27"/>
        <v>73.973345521763719</v>
      </c>
      <c r="AH21" s="304">
        <f t="shared" ca="1" si="28"/>
        <v>83.634309578813486</v>
      </c>
    </row>
    <row r="22" spans="1:34" x14ac:dyDescent="0.25">
      <c r="A22" s="347">
        <f t="shared" ca="1" si="6"/>
        <v>0.01</v>
      </c>
      <c r="B22" s="304">
        <f t="shared" ca="1" si="7"/>
        <v>0.18000000000000002</v>
      </c>
      <c r="D22" s="306">
        <f t="shared" ca="1" si="8"/>
        <v>12.662300731797417</v>
      </c>
      <c r="E22" s="307">
        <f t="shared" ca="1" si="9"/>
        <v>71.815535195451005</v>
      </c>
      <c r="F22" s="304">
        <f t="shared" ca="1" si="10"/>
        <v>72.923281297755238</v>
      </c>
      <c r="G22" s="306">
        <f t="shared" ca="1" si="11"/>
        <v>1.8471327692916584</v>
      </c>
      <c r="H22" s="307">
        <f t="shared" ca="1" si="12"/>
        <v>10.476218752655219</v>
      </c>
      <c r="I22" s="304">
        <f t="shared" ca="1" si="13"/>
        <v>10.637812689687479</v>
      </c>
      <c r="J22" s="306">
        <f t="shared" ca="1" si="14"/>
        <v>0.13451038687331207</v>
      </c>
      <c r="K22" s="307">
        <f t="shared" ca="1" si="15"/>
        <v>0.76289207213410049</v>
      </c>
      <c r="L22" s="304">
        <f t="shared" ca="1" si="0"/>
        <v>0.77465951094779029</v>
      </c>
      <c r="M22" s="306">
        <f t="shared" ca="1" si="16"/>
        <v>1.3962634015954636</v>
      </c>
      <c r="N22" s="304">
        <f t="shared" ca="1" si="17"/>
        <v>80</v>
      </c>
      <c r="P22" s="310">
        <f t="shared" ca="1" si="18"/>
        <v>4</v>
      </c>
      <c r="Q22" s="304">
        <f t="shared" ca="1" si="19"/>
        <v>1172.5357142857142</v>
      </c>
      <c r="R22" s="306">
        <f t="shared" ca="1" si="20"/>
        <v>0.58736096631976542</v>
      </c>
      <c r="S22" s="307">
        <f t="shared" ca="1" si="21"/>
        <v>14.194730368501567</v>
      </c>
      <c r="T22" s="304">
        <f t="shared" ca="1" si="1"/>
        <v>139.25030491500038</v>
      </c>
      <c r="U22" s="311">
        <f t="shared" ca="1" si="2"/>
        <v>24.180561688054219</v>
      </c>
      <c r="V22" s="306">
        <f t="shared" ca="1" si="3"/>
        <v>1.2249065492858042</v>
      </c>
      <c r="W22" s="304">
        <f t="shared" ca="1" si="4"/>
        <v>0.31652482505589463</v>
      </c>
      <c r="Y22" s="314" t="str">
        <f t="shared" ca="1" si="22"/>
        <v/>
      </c>
      <c r="Z22" s="315" t="str">
        <f t="shared" ca="1" si="23"/>
        <v/>
      </c>
      <c r="AA22" s="316" t="str">
        <f t="shared" ca="1" si="24"/>
        <v/>
      </c>
      <c r="AC22" s="310" t="e">
        <f t="shared" ca="1" si="25"/>
        <v>#N/A</v>
      </c>
      <c r="AD22" s="323" t="e">
        <f t="shared" ca="1" si="26"/>
        <v>#N/A</v>
      </c>
      <c r="AE22" s="324">
        <f t="shared" ca="1" si="5"/>
        <v>0.76289207213410049</v>
      </c>
      <c r="AG22" s="306">
        <f t="shared" ca="1" si="27"/>
        <v>72.923281294348513</v>
      </c>
      <c r="AH22" s="304">
        <f t="shared" ca="1" si="28"/>
        <v>82.58424535139828</v>
      </c>
    </row>
    <row r="23" spans="1:34" x14ac:dyDescent="0.25">
      <c r="A23" s="347">
        <f t="shared" ca="1" si="6"/>
        <v>0.01</v>
      </c>
      <c r="B23" s="304">
        <f t="shared" ca="1" si="7"/>
        <v>0.19000000000000003</v>
      </c>
      <c r="D23" s="306">
        <f t="shared" ca="1" si="8"/>
        <v>12.479710278397098</v>
      </c>
      <c r="E23" s="307">
        <f t="shared" ca="1" si="9"/>
        <v>70.779961747608027</v>
      </c>
      <c r="F23" s="304">
        <f t="shared" ca="1" si="10"/>
        <v>71.871734037976196</v>
      </c>
      <c r="G23" s="306">
        <f t="shared" ca="1" si="11"/>
        <v>1.9719298720756293</v>
      </c>
      <c r="H23" s="307">
        <f t="shared" ca="1" si="12"/>
        <v>11.1840183701313</v>
      </c>
      <c r="I23" s="304">
        <f t="shared" ca="1" si="13"/>
        <v>11.356530030067221</v>
      </c>
      <c r="J23" s="306">
        <f t="shared" ca="1" si="14"/>
        <v>0.15360570008014851</v>
      </c>
      <c r="K23" s="307">
        <f t="shared" ca="1" si="15"/>
        <v>0.87119325774803302</v>
      </c>
      <c r="L23" s="304">
        <f t="shared" ca="1" si="0"/>
        <v>0.88463122454655829</v>
      </c>
      <c r="M23" s="306">
        <f t="shared" ca="1" si="16"/>
        <v>1.3962634015954636</v>
      </c>
      <c r="N23" s="304">
        <f t="shared" ca="1" si="17"/>
        <v>80</v>
      </c>
      <c r="P23" s="310">
        <f t="shared" ca="1" si="18"/>
        <v>4</v>
      </c>
      <c r="Q23" s="304">
        <f t="shared" ca="1" si="19"/>
        <v>1157.1785714285713</v>
      </c>
      <c r="R23" s="306">
        <f t="shared" ca="1" si="20"/>
        <v>0.57966807802767872</v>
      </c>
      <c r="S23" s="307">
        <f t="shared" ca="1" si="21"/>
        <v>14.18893368772129</v>
      </c>
      <c r="T23" s="304">
        <f t="shared" ca="1" si="1"/>
        <v>139.19343947654588</v>
      </c>
      <c r="U23" s="311">
        <f t="shared" ca="1" si="2"/>
        <v>24.170687108294363</v>
      </c>
      <c r="V23" s="306">
        <f t="shared" ca="1" si="3"/>
        <v>1.2248932834744617</v>
      </c>
      <c r="W23" s="304">
        <f t="shared" ca="1" si="4"/>
        <v>0.36073618101104032</v>
      </c>
      <c r="Y23" s="314" t="str">
        <f t="shared" ca="1" si="22"/>
        <v/>
      </c>
      <c r="Z23" s="315" t="str">
        <f t="shared" ca="1" si="23"/>
        <v/>
      </c>
      <c r="AA23" s="316" t="str">
        <f t="shared" ca="1" si="24"/>
        <v/>
      </c>
      <c r="AC23" s="310" t="e">
        <f t="shared" ca="1" si="25"/>
        <v>#N/A</v>
      </c>
      <c r="AD23" s="323" t="e">
        <f t="shared" ca="1" si="26"/>
        <v>#N/A</v>
      </c>
      <c r="AE23" s="324">
        <f t="shared" ca="1" si="5"/>
        <v>0.87119325774803302</v>
      </c>
      <c r="AG23" s="306">
        <f t="shared" ca="1" si="27"/>
        <v>71.871734034606817</v>
      </c>
      <c r="AH23" s="304">
        <f t="shared" ca="1" si="28"/>
        <v>81.532698091656584</v>
      </c>
    </row>
    <row r="24" spans="1:34" x14ac:dyDescent="0.25">
      <c r="A24" s="347">
        <f t="shared" ca="1" si="6"/>
        <v>0.01</v>
      </c>
      <c r="B24" s="304">
        <f t="shared" ca="1" si="7"/>
        <v>0.20000000000000004</v>
      </c>
      <c r="D24" s="306">
        <f t="shared" ca="1" si="8"/>
        <v>12.296866552342269</v>
      </c>
      <c r="E24" s="307">
        <f t="shared" ca="1" si="9"/>
        <v>69.742951855586085</v>
      </c>
      <c r="F24" s="304">
        <f t="shared" ca="1" si="10"/>
        <v>70.818728176498013</v>
      </c>
      <c r="G24" s="306">
        <f t="shared" ca="1" si="11"/>
        <v>2.0948985375990521</v>
      </c>
      <c r="H24" s="307">
        <f t="shared" ca="1" si="12"/>
        <v>11.881447888687161</v>
      </c>
      <c r="I24" s="304">
        <f t="shared" ca="1" si="13"/>
        <v>12.064717311832187</v>
      </c>
      <c r="J24" s="306">
        <f t="shared" ca="1" si="14"/>
        <v>0.17393984212852193</v>
      </c>
      <c r="K24" s="307">
        <f t="shared" ca="1" si="15"/>
        <v>0.98652058904212536</v>
      </c>
      <c r="L24" s="304">
        <f t="shared" ca="1" si="0"/>
        <v>1.0017374612560503</v>
      </c>
      <c r="M24" s="306">
        <f t="shared" ca="1" si="16"/>
        <v>1.3962634015954636</v>
      </c>
      <c r="N24" s="304">
        <f t="shared" ca="1" si="17"/>
        <v>80</v>
      </c>
      <c r="P24" s="310">
        <f t="shared" ca="1" si="18"/>
        <v>4</v>
      </c>
      <c r="Q24" s="304">
        <f t="shared" ca="1" si="19"/>
        <v>1141.8214285714284</v>
      </c>
      <c r="R24" s="306">
        <f t="shared" ca="1" si="20"/>
        <v>0.57197518973559192</v>
      </c>
      <c r="S24" s="307">
        <f t="shared" ca="1" si="21"/>
        <v>14.183213935823934</v>
      </c>
      <c r="T24" s="304">
        <f t="shared" ca="1" si="1"/>
        <v>139.1373287104328</v>
      </c>
      <c r="U24" s="311">
        <f t="shared" ca="1" si="2"/>
        <v>24.160943576011331</v>
      </c>
      <c r="V24" s="306">
        <f t="shared" ca="1" si="3"/>
        <v>1.2248791571885385</v>
      </c>
      <c r="W24" s="304">
        <f t="shared" ca="1" si="4"/>
        <v>0.40712492182806331</v>
      </c>
      <c r="Y24" s="314" t="str">
        <f t="shared" ca="1" si="22"/>
        <v/>
      </c>
      <c r="Z24" s="315" t="str">
        <f t="shared" ca="1" si="23"/>
        <v/>
      </c>
      <c r="AA24" s="316" t="str">
        <f t="shared" ca="1" si="24"/>
        <v/>
      </c>
      <c r="AC24" s="310" t="e">
        <f t="shared" ca="1" si="25"/>
        <v>#N/A</v>
      </c>
      <c r="AD24" s="323" t="e">
        <f t="shared" ca="1" si="26"/>
        <v>#N/A</v>
      </c>
      <c r="AE24" s="324">
        <f t="shared" ca="1" si="5"/>
        <v>0.98652058904212536</v>
      </c>
      <c r="AG24" s="306">
        <f t="shared" ca="1" si="27"/>
        <v>70.818728173165994</v>
      </c>
      <c r="AH24" s="304">
        <f t="shared" ca="1" si="28"/>
        <v>80.479692230215761</v>
      </c>
    </row>
    <row r="25" spans="1:34" x14ac:dyDescent="0.25">
      <c r="A25" s="347">
        <f t="shared" ca="1" si="6"/>
        <v>0.01</v>
      </c>
      <c r="B25" s="304">
        <f t="shared" ca="1" si="7"/>
        <v>0.21000000000000005</v>
      </c>
      <c r="D25" s="306">
        <f t="shared" ca="1" si="8"/>
        <v>12.113773791019121</v>
      </c>
      <c r="E25" s="307">
        <f t="shared" ca="1" si="9"/>
        <v>68.704529551559304</v>
      </c>
      <c r="F25" s="304">
        <f t="shared" ca="1" si="10"/>
        <v>69.764288116206473</v>
      </c>
      <c r="G25" s="306">
        <f t="shared" ca="1" si="11"/>
        <v>2.2160362755092433</v>
      </c>
      <c r="H25" s="307">
        <f t="shared" ca="1" si="12"/>
        <v>12.568493184202755</v>
      </c>
      <c r="I25" s="304">
        <f t="shared" ca="1" si="13"/>
        <v>12.76236019299424</v>
      </c>
      <c r="J25" s="306">
        <f t="shared" ca="1" si="14"/>
        <v>0.19549451619406341</v>
      </c>
      <c r="K25" s="307">
        <f t="shared" ca="1" si="15"/>
        <v>1.1087702944065749</v>
      </c>
      <c r="L25" s="304">
        <f t="shared" ca="1" si="0"/>
        <v>1.1258728487801781</v>
      </c>
      <c r="M25" s="306">
        <f t="shared" ca="1" si="16"/>
        <v>1.3962634015954636</v>
      </c>
      <c r="N25" s="304">
        <f t="shared" ca="1" si="17"/>
        <v>80</v>
      </c>
      <c r="P25" s="310">
        <f t="shared" ca="1" si="18"/>
        <v>4</v>
      </c>
      <c r="Q25" s="304">
        <f t="shared" ca="1" si="19"/>
        <v>1126.4642857142858</v>
      </c>
      <c r="R25" s="306">
        <f t="shared" ca="1" si="20"/>
        <v>0.56428230144350533</v>
      </c>
      <c r="S25" s="307">
        <f t="shared" ca="1" si="21"/>
        <v>14.177571112809499</v>
      </c>
      <c r="T25" s="304">
        <f t="shared" ca="1" si="1"/>
        <v>139.0819726166612</v>
      </c>
      <c r="U25" s="311">
        <f t="shared" ca="1" si="2"/>
        <v>24.151331091205137</v>
      </c>
      <c r="V25" s="306">
        <f t="shared" ca="1" si="3"/>
        <v>1.2248641831684188</v>
      </c>
      <c r="W25" s="304">
        <f t="shared" ca="1" si="4"/>
        <v>0.45556470882927502</v>
      </c>
      <c r="Y25" s="314" t="str">
        <f t="shared" ca="1" si="22"/>
        <v/>
      </c>
      <c r="Z25" s="315" t="str">
        <f t="shared" ca="1" si="23"/>
        <v/>
      </c>
      <c r="AA25" s="316" t="str">
        <f t="shared" ca="1" si="24"/>
        <v/>
      </c>
      <c r="AC25" s="310" t="e">
        <f t="shared" ca="1" si="25"/>
        <v>#N/A</v>
      </c>
      <c r="AD25" s="323" t="e">
        <f t="shared" ca="1" si="26"/>
        <v>#N/A</v>
      </c>
      <c r="AE25" s="324">
        <f t="shared" ca="1" si="5"/>
        <v>1.1087702944065749</v>
      </c>
      <c r="AG25" s="306">
        <f t="shared" ca="1" si="27"/>
        <v>69.764288112911856</v>
      </c>
      <c r="AH25" s="304">
        <f t="shared" ca="1" si="28"/>
        <v>79.425252169961624</v>
      </c>
    </row>
    <row r="26" spans="1:34" x14ac:dyDescent="0.25">
      <c r="A26" s="347">
        <f t="shared" ca="1" si="6"/>
        <v>0.01</v>
      </c>
      <c r="B26" s="304">
        <f t="shared" ca="1" si="7"/>
        <v>0.22000000000000006</v>
      </c>
      <c r="D26" s="306">
        <f t="shared" ca="1" si="8"/>
        <v>11.930436226578214</v>
      </c>
      <c r="E26" s="307">
        <f t="shared" ca="1" si="9"/>
        <v>67.664718838012419</v>
      </c>
      <c r="F26" s="304">
        <f t="shared" ca="1" si="10"/>
        <v>68.708438229839885</v>
      </c>
      <c r="G26" s="306">
        <f t="shared" ca="1" si="11"/>
        <v>2.3353406377750257</v>
      </c>
      <c r="H26" s="307">
        <f t="shared" ca="1" si="12"/>
        <v>13.245140372582879</v>
      </c>
      <c r="I26" s="304">
        <f t="shared" ca="1" si="13"/>
        <v>13.449444575292631</v>
      </c>
      <c r="J26" s="306">
        <f t="shared" ca="1" si="14"/>
        <v>0.21825140076048477</v>
      </c>
      <c r="K26" s="307">
        <f t="shared" ca="1" si="15"/>
        <v>1.2378384621905032</v>
      </c>
      <c r="L26" s="304">
        <f t="shared" ca="1" si="0"/>
        <v>1.2569318726216085</v>
      </c>
      <c r="M26" s="306">
        <f t="shared" ca="1" si="16"/>
        <v>1.3962634015954636</v>
      </c>
      <c r="N26" s="304">
        <f t="shared" ca="1" si="17"/>
        <v>80</v>
      </c>
      <c r="P26" s="310">
        <f t="shared" ca="1" si="18"/>
        <v>4</v>
      </c>
      <c r="Q26" s="304">
        <f t="shared" ca="1" si="19"/>
        <v>1111.1071428571427</v>
      </c>
      <c r="R26" s="306">
        <f t="shared" ca="1" si="20"/>
        <v>0.55658941315141852</v>
      </c>
      <c r="S26" s="307">
        <f t="shared" ca="1" si="21"/>
        <v>14.172005218677985</v>
      </c>
      <c r="T26" s="304">
        <f t="shared" ca="1" si="1"/>
        <v>139.02737119523104</v>
      </c>
      <c r="U26" s="311">
        <f t="shared" ca="1" si="2"/>
        <v>24.141849653875763</v>
      </c>
      <c r="V26" s="306">
        <f t="shared" ca="1" si="3"/>
        <v>1.2248483741727958</v>
      </c>
      <c r="W26" s="304">
        <f t="shared" ca="1" si="4"/>
        <v>0.50593086140645027</v>
      </c>
      <c r="Y26" s="314" t="str">
        <f t="shared" ca="1" si="22"/>
        <v/>
      </c>
      <c r="Z26" s="315" t="str">
        <f t="shared" ca="1" si="23"/>
        <v/>
      </c>
      <c r="AA26" s="316" t="str">
        <f t="shared" ca="1" si="24"/>
        <v/>
      </c>
      <c r="AC26" s="310" t="e">
        <f t="shared" ca="1" si="25"/>
        <v>#N/A</v>
      </c>
      <c r="AD26" s="323" t="e">
        <f t="shared" ca="1" si="26"/>
        <v>#N/A</v>
      </c>
      <c r="AE26" s="324">
        <f t="shared" ca="1" si="5"/>
        <v>1.2378384621905032</v>
      </c>
      <c r="AG26" s="306">
        <f t="shared" ca="1" si="27"/>
        <v>68.708438226582672</v>
      </c>
      <c r="AH26" s="304">
        <f t="shared" ca="1" si="28"/>
        <v>78.369402283632439</v>
      </c>
    </row>
    <row r="27" spans="1:34" x14ac:dyDescent="0.25">
      <c r="A27" s="347">
        <f t="shared" ca="1" si="6"/>
        <v>0.01</v>
      </c>
      <c r="B27" s="304">
        <f t="shared" ca="1" si="7"/>
        <v>0.23000000000000007</v>
      </c>
      <c r="D27" s="306">
        <f t="shared" ca="1" si="8"/>
        <v>11.746858085519353</v>
      </c>
      <c r="E27" s="307">
        <f t="shared" ca="1" si="9"/>
        <v>66.623543685386295</v>
      </c>
      <c r="F27" s="304">
        <f t="shared" ca="1" si="10"/>
        <v>67.651202857598236</v>
      </c>
      <c r="G27" s="306">
        <f t="shared" ca="1" si="11"/>
        <v>2.4528092186302191</v>
      </c>
      <c r="H27" s="307">
        <f t="shared" ca="1" si="12"/>
        <v>13.911375809436743</v>
      </c>
      <c r="I27" s="304">
        <f t="shared" ca="1" si="13"/>
        <v>14.125956603868609</v>
      </c>
      <c r="J27" s="306">
        <f t="shared" ca="1" si="14"/>
        <v>0.24219215004251099</v>
      </c>
      <c r="K27" s="307">
        <f t="shared" ca="1" si="15"/>
        <v>1.3736210431006013</v>
      </c>
      <c r="L27" s="304">
        <f t="shared" ca="1" si="0"/>
        <v>1.3948088785174111</v>
      </c>
      <c r="M27" s="306">
        <f t="shared" ca="1" si="16"/>
        <v>1.3962634015954636</v>
      </c>
      <c r="N27" s="304">
        <f t="shared" ca="1" si="17"/>
        <v>80</v>
      </c>
      <c r="P27" s="310">
        <f t="shared" ca="1" si="18"/>
        <v>4</v>
      </c>
      <c r="Q27" s="304">
        <f t="shared" ca="1" si="19"/>
        <v>1095.75</v>
      </c>
      <c r="R27" s="306">
        <f t="shared" ca="1" si="20"/>
        <v>0.54889652485933182</v>
      </c>
      <c r="S27" s="307">
        <f t="shared" ca="1" si="21"/>
        <v>14.166516253429391</v>
      </c>
      <c r="T27" s="304">
        <f t="shared" ca="1" si="1"/>
        <v>138.97352444614233</v>
      </c>
      <c r="U27" s="311">
        <f t="shared" ca="1" si="2"/>
        <v>24.13249926402322</v>
      </c>
      <c r="V27" s="306">
        <f t="shared" ca="1" si="3"/>
        <v>1.2248317429782896</v>
      </c>
      <c r="W27" s="304">
        <f t="shared" ca="1" si="4"/>
        <v>0.55810037103659282</v>
      </c>
      <c r="Y27" s="314" t="str">
        <f t="shared" ca="1" si="22"/>
        <v/>
      </c>
      <c r="Z27" s="315" t="str">
        <f t="shared" ca="1" si="23"/>
        <v/>
      </c>
      <c r="AA27" s="316" t="str">
        <f t="shared" ca="1" si="24"/>
        <v/>
      </c>
      <c r="AC27" s="310" t="e">
        <f t="shared" ca="1" si="25"/>
        <v>#N/A</v>
      </c>
      <c r="AD27" s="323" t="e">
        <f t="shared" ca="1" si="26"/>
        <v>#N/A</v>
      </c>
      <c r="AE27" s="324">
        <f t="shared" ca="1" si="5"/>
        <v>1.3736210431006013</v>
      </c>
      <c r="AG27" s="306">
        <f t="shared" ca="1" si="27"/>
        <v>67.651202854378454</v>
      </c>
      <c r="AH27" s="304">
        <f t="shared" ca="1" si="28"/>
        <v>77.312166911428207</v>
      </c>
    </row>
    <row r="28" spans="1:34" x14ac:dyDescent="0.25">
      <c r="A28" s="347">
        <f t="shared" ca="1" si="6"/>
        <v>0.01</v>
      </c>
      <c r="B28" s="304">
        <f t="shared" ca="1" si="7"/>
        <v>0.24000000000000007</v>
      </c>
      <c r="D28" s="306">
        <f t="shared" ca="1" si="8"/>
        <v>11.563043588278923</v>
      </c>
      <c r="E28" s="307">
        <f t="shared" ca="1" si="9"/>
        <v>65.581028029737652</v>
      </c>
      <c r="F28" s="304">
        <f t="shared" ca="1" si="10"/>
        <v>66.592606304766846</v>
      </c>
      <c r="G28" s="306">
        <f t="shared" ca="1" si="11"/>
        <v>2.5684396545130084</v>
      </c>
      <c r="H28" s="307">
        <f t="shared" ca="1" si="12"/>
        <v>14.56718608973412</v>
      </c>
      <c r="I28" s="304">
        <f t="shared" ca="1" si="13"/>
        <v>14.791882666916274</v>
      </c>
      <c r="J28" s="306">
        <f t="shared" ca="1" si="14"/>
        <v>0.26729839440822711</v>
      </c>
      <c r="K28" s="307">
        <f t="shared" ca="1" si="15"/>
        <v>1.5160138525964557</v>
      </c>
      <c r="L28" s="304">
        <f t="shared" ca="1" si="0"/>
        <v>1.5393980748713323</v>
      </c>
      <c r="M28" s="306">
        <f t="shared" ca="1" si="16"/>
        <v>1.3962634015954636</v>
      </c>
      <c r="N28" s="304">
        <f t="shared" ca="1" si="17"/>
        <v>80</v>
      </c>
      <c r="P28" s="310">
        <f t="shared" ca="1" si="18"/>
        <v>4</v>
      </c>
      <c r="Q28" s="304">
        <f t="shared" ca="1" si="19"/>
        <v>1080.3928571428571</v>
      </c>
      <c r="R28" s="306">
        <f t="shared" ca="1" si="20"/>
        <v>0.54120363656724513</v>
      </c>
      <c r="S28" s="307">
        <f t="shared" ca="1" si="21"/>
        <v>14.161104217063718</v>
      </c>
      <c r="T28" s="304">
        <f t="shared" ca="1" si="1"/>
        <v>138.92043236939509</v>
      </c>
      <c r="U28" s="311">
        <f t="shared" ca="1" si="2"/>
        <v>24.123279921647509</v>
      </c>
      <c r="V28" s="306">
        <f t="shared" ca="1" si="3"/>
        <v>1.2248143023790652</v>
      </c>
      <c r="W28" s="304">
        <f t="shared" ca="1" si="4"/>
        <v>0.61195191503994006</v>
      </c>
      <c r="Y28" s="314" t="str">
        <f t="shared" ca="1" si="22"/>
        <v/>
      </c>
      <c r="Z28" s="315" t="str">
        <f t="shared" ca="1" si="23"/>
        <v/>
      </c>
      <c r="AA28" s="316" t="str">
        <f t="shared" ca="1" si="24"/>
        <v/>
      </c>
      <c r="AC28" s="310" t="e">
        <f t="shared" ca="1" si="25"/>
        <v>#N/A</v>
      </c>
      <c r="AD28" s="323" t="e">
        <f t="shared" ca="1" si="26"/>
        <v>#N/A</v>
      </c>
      <c r="AE28" s="324">
        <f t="shared" ca="1" si="5"/>
        <v>1.5160138525964557</v>
      </c>
      <c r="AG28" s="306">
        <f t="shared" ca="1" si="27"/>
        <v>66.592606301584496</v>
      </c>
      <c r="AH28" s="304">
        <f t="shared" ca="1" si="28"/>
        <v>76.253570358634263</v>
      </c>
    </row>
    <row r="29" spans="1:34" x14ac:dyDescent="0.25">
      <c r="A29" s="347">
        <f t="shared" ca="1" si="6"/>
        <v>0.01</v>
      </c>
      <c r="B29" s="304">
        <f t="shared" ca="1" si="7"/>
        <v>0.25000000000000006</v>
      </c>
      <c r="D29" s="306">
        <f t="shared" ca="1" si="8"/>
        <v>11.378996948820067</v>
      </c>
      <c r="E29" s="307">
        <f t="shared" ca="1" si="9"/>
        <v>64.537195770414868</v>
      </c>
      <c r="F29" s="304">
        <f t="shared" ca="1" si="10"/>
        <v>65.532672839356337</v>
      </c>
      <c r="G29" s="306">
        <f t="shared" ca="1" si="11"/>
        <v>2.6822296240012089</v>
      </c>
      <c r="H29" s="307">
        <f t="shared" ca="1" si="12"/>
        <v>15.212558047438268</v>
      </c>
      <c r="I29" s="304">
        <f t="shared" ca="1" si="13"/>
        <v>15.447209395309836</v>
      </c>
      <c r="J29" s="306">
        <f t="shared" ca="1" si="14"/>
        <v>0.29355174080079821</v>
      </c>
      <c r="K29" s="307">
        <f t="shared" ca="1" si="15"/>
        <v>1.6649125732823176</v>
      </c>
      <c r="L29" s="304">
        <f t="shared" ca="1" si="0"/>
        <v>1.6905935351824601</v>
      </c>
      <c r="M29" s="306">
        <f t="shared" ca="1" si="16"/>
        <v>1.3962634015954636</v>
      </c>
      <c r="N29" s="304">
        <f t="shared" ca="1" si="17"/>
        <v>80</v>
      </c>
      <c r="P29" s="310">
        <f t="shared" ca="1" si="18"/>
        <v>4</v>
      </c>
      <c r="Q29" s="304">
        <f t="shared" ca="1" si="19"/>
        <v>1065.0357142857142</v>
      </c>
      <c r="R29" s="306">
        <f t="shared" ca="1" si="20"/>
        <v>0.53351074827515843</v>
      </c>
      <c r="S29" s="307">
        <f t="shared" ca="1" si="21"/>
        <v>14.155769109580966</v>
      </c>
      <c r="T29" s="304">
        <f t="shared" ca="1" si="1"/>
        <v>138.8680949649893</v>
      </c>
      <c r="U29" s="311">
        <f t="shared" ca="1" si="2"/>
        <v>24.114191626748628</v>
      </c>
      <c r="V29" s="306">
        <f t="shared" ca="1" si="3"/>
        <v>1.2247960651864547</v>
      </c>
      <c r="W29" s="304">
        <f t="shared" ca="1" si="4"/>
        <v>0.6673658700797348</v>
      </c>
      <c r="Y29" s="314" t="str">
        <f t="shared" ca="1" si="22"/>
        <v/>
      </c>
      <c r="Z29" s="315" t="str">
        <f t="shared" ca="1" si="23"/>
        <v/>
      </c>
      <c r="AA29" s="316" t="str">
        <f t="shared" ca="1" si="24"/>
        <v/>
      </c>
      <c r="AC29" s="310" t="e">
        <f t="shared" ca="1" si="25"/>
        <v>#N/A</v>
      </c>
      <c r="AD29" s="323" t="e">
        <f t="shared" ca="1" si="26"/>
        <v>#N/A</v>
      </c>
      <c r="AE29" s="324">
        <f t="shared" ca="1" si="5"/>
        <v>1.6649125732823176</v>
      </c>
      <c r="AG29" s="306">
        <f t="shared" ca="1" si="27"/>
        <v>65.532672836211404</v>
      </c>
      <c r="AH29" s="304">
        <f t="shared" ca="1" si="28"/>
        <v>75.193636893261171</v>
      </c>
    </row>
    <row r="30" spans="1:34" x14ac:dyDescent="0.25">
      <c r="A30" s="347">
        <f t="shared" ca="1" si="6"/>
        <v>0.01</v>
      </c>
      <c r="B30" s="304">
        <f t="shared" ca="1" si="7"/>
        <v>0.26000000000000006</v>
      </c>
      <c r="D30" s="306">
        <f t="shared" ca="1" si="8"/>
        <v>11.194722374225547</v>
      </c>
      <c r="E30" s="307">
        <f t="shared" ca="1" si="9"/>
        <v>63.492070767748757</v>
      </c>
      <c r="F30" s="304">
        <f t="shared" ca="1" si="10"/>
        <v>64.471426689757706</v>
      </c>
      <c r="G30" s="306">
        <f t="shared" ca="1" si="11"/>
        <v>2.7941768477434645</v>
      </c>
      <c r="H30" s="307">
        <f t="shared" ca="1" si="12"/>
        <v>15.847478755115755</v>
      </c>
      <c r="I30" s="304">
        <f t="shared" ca="1" si="13"/>
        <v>16.09192366220741</v>
      </c>
      <c r="J30" s="306">
        <f t="shared" ca="1" si="14"/>
        <v>0.3209337731595216</v>
      </c>
      <c r="K30" s="307">
        <f t="shared" ca="1" si="15"/>
        <v>1.8202127572950877</v>
      </c>
      <c r="L30" s="304">
        <f t="shared" ca="1" si="0"/>
        <v>1.8482892004700437</v>
      </c>
      <c r="M30" s="306">
        <f t="shared" ca="1" si="16"/>
        <v>1.3962634015954636</v>
      </c>
      <c r="N30" s="304">
        <f t="shared" ca="1" si="17"/>
        <v>80</v>
      </c>
      <c r="P30" s="310">
        <f t="shared" ca="1" si="18"/>
        <v>4</v>
      </c>
      <c r="Q30" s="304">
        <f t="shared" ca="1" si="19"/>
        <v>1049.6785714285713</v>
      </c>
      <c r="R30" s="306">
        <f t="shared" ca="1" si="20"/>
        <v>0.52581785998307162</v>
      </c>
      <c r="S30" s="307">
        <f t="shared" ca="1" si="21"/>
        <v>14.150510930981135</v>
      </c>
      <c r="T30" s="304">
        <f t="shared" ca="1" si="1"/>
        <v>138.81651223292494</v>
      </c>
      <c r="U30" s="311">
        <f t="shared" ca="1" si="2"/>
        <v>24.105234379326568</v>
      </c>
      <c r="V30" s="306">
        <f t="shared" ca="1" si="3"/>
        <v>1.2247770442285784</v>
      </c>
      <c r="W30" s="304">
        <f t="shared" ca="1" si="4"/>
        <v>0.72422432540335391</v>
      </c>
      <c r="Y30" s="314" t="str">
        <f t="shared" ca="1" si="22"/>
        <v/>
      </c>
      <c r="Z30" s="315" t="str">
        <f t="shared" ca="1" si="23"/>
        <v/>
      </c>
      <c r="AA30" s="316" t="str">
        <f t="shared" ca="1" si="24"/>
        <v/>
      </c>
      <c r="AC30" s="310" t="e">
        <f t="shared" ca="1" si="25"/>
        <v>#N/A</v>
      </c>
      <c r="AD30" s="323" t="e">
        <f t="shared" ca="1" si="26"/>
        <v>#N/A</v>
      </c>
      <c r="AE30" s="324">
        <f t="shared" ca="1" si="5"/>
        <v>1.8202127572950877</v>
      </c>
      <c r="AG30" s="306">
        <f t="shared" ca="1" si="27"/>
        <v>64.471426686650233</v>
      </c>
      <c r="AH30" s="304">
        <f t="shared" ca="1" si="28"/>
        <v>74.1323907437</v>
      </c>
    </row>
    <row r="31" spans="1:34" x14ac:dyDescent="0.25">
      <c r="A31" s="347">
        <f t="shared" ca="1" si="6"/>
        <v>0.01</v>
      </c>
      <c r="B31" s="304">
        <f t="shared" ca="1" si="7"/>
        <v>0.27000000000000007</v>
      </c>
      <c r="D31" s="306">
        <f t="shared" ca="1" si="8"/>
        <v>11.102469800738238</v>
      </c>
      <c r="E31" s="307">
        <f t="shared" ca="1" si="9"/>
        <v>62.968854515089603</v>
      </c>
      <c r="F31" s="304">
        <f t="shared" ca="1" si="10"/>
        <v>63.940139776347259</v>
      </c>
      <c r="G31" s="306">
        <f t="shared" ca="1" si="11"/>
        <v>2.9052015457508471</v>
      </c>
      <c r="H31" s="307">
        <f t="shared" ca="1" si="12"/>
        <v>16.47716730026665</v>
      </c>
      <c r="I31" s="304">
        <f t="shared" ca="1" si="13"/>
        <v>16.731325059970882</v>
      </c>
      <c r="J31" s="306">
        <f t="shared" ca="1" si="14"/>
        <v>0.34943066512699317</v>
      </c>
      <c r="K31" s="307">
        <f t="shared" ca="1" si="15"/>
        <v>1.9818359875719997</v>
      </c>
      <c r="L31" s="304">
        <f t="shared" ca="1" si="0"/>
        <v>2.0124054440809331</v>
      </c>
      <c r="M31" s="306">
        <f t="shared" ca="1" si="16"/>
        <v>1.3962634015954636</v>
      </c>
      <c r="N31" s="304">
        <f t="shared" ca="1" si="17"/>
        <v>80</v>
      </c>
      <c r="P31" s="310">
        <f t="shared" ca="1" si="18"/>
        <v>5</v>
      </c>
      <c r="Q31" s="304">
        <f t="shared" ca="1" si="19"/>
        <v>1041.8333333333333</v>
      </c>
      <c r="R31" s="306">
        <f t="shared" ca="1" si="20"/>
        <v>0.52188792712688159</v>
      </c>
      <c r="S31" s="307">
        <f t="shared" ca="1" si="21"/>
        <v>14.145292051709866</v>
      </c>
      <c r="T31" s="304">
        <f t="shared" ca="1" si="1"/>
        <v>138.7653150272738</v>
      </c>
      <c r="U31" s="311">
        <f t="shared" ca="1" si="2"/>
        <v>24.096344077863609</v>
      </c>
      <c r="V31" s="306">
        <f t="shared" ca="1" si="3"/>
        <v>1.2247572491461414</v>
      </c>
      <c r="W31" s="304">
        <f t="shared" ca="1" si="4"/>
        <v>0.78290818790354244</v>
      </c>
      <c r="Y31" s="314" t="str">
        <f t="shared" ca="1" si="22"/>
        <v/>
      </c>
      <c r="Z31" s="315" t="str">
        <f t="shared" ca="1" si="23"/>
        <v/>
      </c>
      <c r="AA31" s="316" t="str">
        <f t="shared" ca="1" si="24"/>
        <v/>
      </c>
      <c r="AC31" s="310" t="e">
        <f t="shared" ca="1" si="25"/>
        <v>#N/A</v>
      </c>
      <c r="AD31" s="323" t="e">
        <f t="shared" ca="1" si="26"/>
        <v>#N/A</v>
      </c>
      <c r="AE31" s="324">
        <f t="shared" ca="1" si="5"/>
        <v>1.9818359875719997</v>
      </c>
      <c r="AG31" s="306">
        <f t="shared" ca="1" si="27"/>
        <v>63.940139773258345</v>
      </c>
      <c r="AH31" s="304">
        <f t="shared" ca="1" si="28"/>
        <v>73.601103830308105</v>
      </c>
    </row>
    <row r="32" spans="1:34" x14ac:dyDescent="0.25">
      <c r="A32" s="347">
        <f t="shared" ca="1" si="6"/>
        <v>0.01</v>
      </c>
      <c r="B32" s="304">
        <f t="shared" ca="1" si="7"/>
        <v>0.28000000000000008</v>
      </c>
      <c r="D32" s="306">
        <f t="shared" ca="1" si="8"/>
        <v>11.102371221134273</v>
      </c>
      <c r="E32" s="307">
        <f t="shared" ca="1" si="9"/>
        <v>62.968295619359182</v>
      </c>
      <c r="F32" s="304">
        <f t="shared" ca="1" si="10"/>
        <v>63.93957225333056</v>
      </c>
      <c r="G32" s="306">
        <f t="shared" ca="1" si="11"/>
        <v>3.0162252579621898</v>
      </c>
      <c r="H32" s="307">
        <f t="shared" ca="1" si="12"/>
        <v>17.106850256460241</v>
      </c>
      <c r="I32" s="304">
        <f t="shared" ca="1" si="13"/>
        <v>17.370720782504186</v>
      </c>
      <c r="J32" s="306">
        <f t="shared" ca="1" si="14"/>
        <v>0.37903779914555835</v>
      </c>
      <c r="K32" s="307">
        <f t="shared" ca="1" si="15"/>
        <v>2.1497560753556342</v>
      </c>
      <c r="L32" s="304">
        <f t="shared" ca="1" si="0"/>
        <v>2.1829156732933059</v>
      </c>
      <c r="M32" s="306">
        <f t="shared" ca="1" si="16"/>
        <v>1.3962634015954636</v>
      </c>
      <c r="N32" s="304">
        <f t="shared" ca="1" si="17"/>
        <v>80</v>
      </c>
      <c r="P32" s="310">
        <f t="shared" ca="1" si="18"/>
        <v>5</v>
      </c>
      <c r="Q32" s="304">
        <f t="shared" ca="1" si="19"/>
        <v>1041.5</v>
      </c>
      <c r="R32" s="306">
        <f t="shared" ca="1" si="20"/>
        <v>0.52172094970658833</v>
      </c>
      <c r="S32" s="307">
        <f t="shared" ca="1" si="21"/>
        <v>14.140074842212801</v>
      </c>
      <c r="T32" s="304">
        <f t="shared" ca="1" si="1"/>
        <v>138.71413420210757</v>
      </c>
      <c r="U32" s="311">
        <f t="shared" ca="1" si="2"/>
        <v>24.087456620842005</v>
      </c>
      <c r="V32" s="306">
        <f t="shared" ca="1" si="3"/>
        <v>1.2247366831841153</v>
      </c>
      <c r="W32" s="304">
        <f t="shared" ca="1" si="4"/>
        <v>0.84387582899972824</v>
      </c>
      <c r="Y32" s="314" t="str">
        <f t="shared" ca="1" si="22"/>
        <v/>
      </c>
      <c r="Z32" s="315" t="str">
        <f t="shared" ca="1" si="23"/>
        <v/>
      </c>
      <c r="AA32" s="316" t="str">
        <f t="shared" ca="1" si="24"/>
        <v/>
      </c>
      <c r="AC32" s="310" t="e">
        <f t="shared" ca="1" si="25"/>
        <v>#N/A</v>
      </c>
      <c r="AD32" s="323" t="e">
        <f t="shared" ca="1" si="26"/>
        <v>#N/A</v>
      </c>
      <c r="AE32" s="324">
        <f t="shared" ca="1" si="5"/>
        <v>2.1497560753556342</v>
      </c>
      <c r="AG32" s="306">
        <f t="shared" ca="1" si="27"/>
        <v>63.939572250241319</v>
      </c>
      <c r="AH32" s="304">
        <f t="shared" ca="1" si="28"/>
        <v>73.60053630729108</v>
      </c>
    </row>
    <row r="33" spans="1:34" x14ac:dyDescent="0.25">
      <c r="A33" s="347">
        <f t="shared" ca="1" si="6"/>
        <v>0.01</v>
      </c>
      <c r="B33" s="304">
        <f t="shared" ca="1" si="7"/>
        <v>0.29000000000000009</v>
      </c>
      <c r="D33" s="306">
        <f t="shared" ca="1" si="8"/>
        <v>11.102243002598671</v>
      </c>
      <c r="E33" s="307">
        <f t="shared" ca="1" si="9"/>
        <v>62.967568632597633</v>
      </c>
      <c r="F33" s="304">
        <f t="shared" ca="1" si="10"/>
        <v>63.938834046216733</v>
      </c>
      <c r="G33" s="306">
        <f t="shared" ca="1" si="11"/>
        <v>3.1272476879881763</v>
      </c>
      <c r="H33" s="307">
        <f t="shared" ca="1" si="12"/>
        <v>17.736525942786219</v>
      </c>
      <c r="I33" s="304">
        <f t="shared" ca="1" si="13"/>
        <v>18.010109122966355</v>
      </c>
      <c r="J33" s="306">
        <f t="shared" ca="1" si="14"/>
        <v>0.40975516387531019</v>
      </c>
      <c r="K33" s="307">
        <f t="shared" ca="1" si="15"/>
        <v>2.3239729563518665</v>
      </c>
      <c r="L33" s="304">
        <f t="shared" ca="1" si="0"/>
        <v>2.3598198228206568</v>
      </c>
      <c r="M33" s="306">
        <f t="shared" ca="1" si="16"/>
        <v>1.3962634015954636</v>
      </c>
      <c r="N33" s="304">
        <f t="shared" ca="1" si="17"/>
        <v>80</v>
      </c>
      <c r="P33" s="310">
        <f t="shared" ca="1" si="18"/>
        <v>5</v>
      </c>
      <c r="Q33" s="304">
        <f t="shared" ca="1" si="19"/>
        <v>1041.1666666666667</v>
      </c>
      <c r="R33" s="306">
        <f t="shared" ca="1" si="20"/>
        <v>0.52155397228629496</v>
      </c>
      <c r="S33" s="307">
        <f t="shared" ca="1" si="21"/>
        <v>14.134859302489938</v>
      </c>
      <c r="T33" s="304">
        <f t="shared" ca="1" si="1"/>
        <v>138.66296975742628</v>
      </c>
      <c r="U33" s="311">
        <f t="shared" ca="1" si="2"/>
        <v>24.078572008261759</v>
      </c>
      <c r="V33" s="306">
        <f t="shared" ca="1" si="3"/>
        <v>1.2247153463892118</v>
      </c>
      <c r="W33" s="304">
        <f t="shared" ca="1" si="4"/>
        <v>0.90712678557887672</v>
      </c>
      <c r="Y33" s="314" t="str">
        <f t="shared" ca="1" si="22"/>
        <v/>
      </c>
      <c r="Z33" s="315" t="str">
        <f t="shared" ca="1" si="23"/>
        <v/>
      </c>
      <c r="AA33" s="316" t="str">
        <f t="shared" ca="1" si="24"/>
        <v/>
      </c>
      <c r="AC33" s="310" t="e">
        <f t="shared" ca="1" si="25"/>
        <v>#N/A</v>
      </c>
      <c r="AD33" s="323" t="e">
        <f t="shared" ca="1" si="26"/>
        <v>#N/A</v>
      </c>
      <c r="AE33" s="324">
        <f t="shared" ca="1" si="5"/>
        <v>2.3239729563518665</v>
      </c>
      <c r="AG33" s="306">
        <f t="shared" ca="1" si="27"/>
        <v>63.938834043127166</v>
      </c>
      <c r="AH33" s="304">
        <f t="shared" ca="1" si="28"/>
        <v>73.599798100176926</v>
      </c>
    </row>
    <row r="34" spans="1:34" x14ac:dyDescent="0.25">
      <c r="A34" s="347">
        <f t="shared" ca="1" si="6"/>
        <v>0.01</v>
      </c>
      <c r="B34" s="304">
        <f t="shared" ca="1" si="7"/>
        <v>0.3000000000000001</v>
      </c>
      <c r="D34" s="306">
        <f t="shared" ca="1" si="8"/>
        <v>11.102085118047372</v>
      </c>
      <c r="E34" s="307">
        <f t="shared" ca="1" si="9"/>
        <v>62.966673401203266</v>
      </c>
      <c r="F34" s="304">
        <f t="shared" ca="1" si="10"/>
        <v>63.937924999034557</v>
      </c>
      <c r="G34" s="306">
        <f t="shared" ca="1" si="11"/>
        <v>3.2382685391686499</v>
      </c>
      <c r="H34" s="307">
        <f t="shared" ca="1" si="12"/>
        <v>18.366192676798253</v>
      </c>
      <c r="I34" s="304">
        <f t="shared" ca="1" si="13"/>
        <v>18.649488372956704</v>
      </c>
      <c r="J34" s="306">
        <f t="shared" ca="1" si="14"/>
        <v>0.44158274501109435</v>
      </c>
      <c r="K34" s="307">
        <f t="shared" ca="1" si="15"/>
        <v>2.5044865494497888</v>
      </c>
      <c r="L34" s="304">
        <f t="shared" ca="1" si="0"/>
        <v>2.5431178103002705</v>
      </c>
      <c r="M34" s="306">
        <f t="shared" ca="1" si="16"/>
        <v>1.3962634015954636</v>
      </c>
      <c r="N34" s="304">
        <f t="shared" ca="1" si="17"/>
        <v>80</v>
      </c>
      <c r="P34" s="310">
        <f t="shared" ca="1" si="18"/>
        <v>5</v>
      </c>
      <c r="Q34" s="304">
        <f t="shared" ca="1" si="19"/>
        <v>1040.8333333333333</v>
      </c>
      <c r="R34" s="306">
        <f t="shared" ca="1" si="20"/>
        <v>0.5213869948660016</v>
      </c>
      <c r="S34" s="307">
        <f t="shared" ca="1" si="21"/>
        <v>14.129645432541277</v>
      </c>
      <c r="T34" s="304">
        <f t="shared" ca="1" si="1"/>
        <v>138.61182169322993</v>
      </c>
      <c r="U34" s="311">
        <f t="shared" ca="1" si="2"/>
        <v>24.069690240122871</v>
      </c>
      <c r="V34" s="306">
        <f t="shared" ca="1" si="3"/>
        <v>1.224693238811656</v>
      </c>
      <c r="W34" s="304">
        <f t="shared" ca="1" si="4"/>
        <v>0.97266056134564582</v>
      </c>
      <c r="Y34" s="314" t="str">
        <f t="shared" ca="1" si="22"/>
        <v/>
      </c>
      <c r="Z34" s="315" t="str">
        <f t="shared" ca="1" si="23"/>
        <v/>
      </c>
      <c r="AA34" s="316" t="str">
        <f t="shared" ca="1" si="24"/>
        <v/>
      </c>
      <c r="AC34" s="310" t="e">
        <f t="shared" ca="1" si="25"/>
        <v>#N/A</v>
      </c>
      <c r="AD34" s="323" t="e">
        <f t="shared" ca="1" si="26"/>
        <v>#N/A</v>
      </c>
      <c r="AE34" s="324">
        <f t="shared" ca="1" si="5"/>
        <v>2.5044865494497888</v>
      </c>
      <c r="AG34" s="306">
        <f t="shared" ca="1" si="27"/>
        <v>63.937924995944634</v>
      </c>
      <c r="AH34" s="304">
        <f t="shared" ca="1" si="28"/>
        <v>73.598889052994394</v>
      </c>
    </row>
    <row r="35" spans="1:34" x14ac:dyDescent="0.25">
      <c r="A35" s="347">
        <f t="shared" ca="1" si="6"/>
        <v>0.01</v>
      </c>
      <c r="B35" s="304">
        <f t="shared" ca="1" si="7"/>
        <v>0.31000000000000011</v>
      </c>
      <c r="D35" s="306">
        <f t="shared" ca="1" si="8"/>
        <v>11.10189754078532</v>
      </c>
      <c r="E35" s="307">
        <f t="shared" ca="1" si="9"/>
        <v>62.965609773780486</v>
      </c>
      <c r="F35" s="304">
        <f t="shared" ca="1" si="10"/>
        <v>63.936844958052909</v>
      </c>
      <c r="G35" s="306">
        <f t="shared" ca="1" si="11"/>
        <v>3.3492875145765031</v>
      </c>
      <c r="H35" s="307">
        <f t="shared" ca="1" si="12"/>
        <v>18.995848774536057</v>
      </c>
      <c r="I35" s="304">
        <f t="shared" ca="1" si="13"/>
        <v>19.28885682253723</v>
      </c>
      <c r="J35" s="306">
        <f t="shared" ca="1" si="14"/>
        <v>0.47452052527982014</v>
      </c>
      <c r="K35" s="307">
        <f t="shared" ca="1" si="15"/>
        <v>2.6912967567064605</v>
      </c>
      <c r="L35" s="304">
        <f t="shared" ca="1" si="0"/>
        <v>2.7328095362777387</v>
      </c>
      <c r="M35" s="306">
        <f t="shared" ca="1" si="16"/>
        <v>1.3962634015954636</v>
      </c>
      <c r="N35" s="304">
        <f t="shared" ca="1" si="17"/>
        <v>80</v>
      </c>
      <c r="P35" s="310">
        <f t="shared" ca="1" si="18"/>
        <v>5</v>
      </c>
      <c r="Q35" s="304">
        <f t="shared" ca="1" si="19"/>
        <v>1040.5</v>
      </c>
      <c r="R35" s="306">
        <f t="shared" ca="1" si="20"/>
        <v>0.52122001744570823</v>
      </c>
      <c r="S35" s="307">
        <f t="shared" ca="1" si="21"/>
        <v>14.124433232366821</v>
      </c>
      <c r="T35" s="304">
        <f t="shared" ca="1" si="1"/>
        <v>138.56069000951851</v>
      </c>
      <c r="U35" s="311">
        <f t="shared" ca="1" si="2"/>
        <v>24.06081131642534</v>
      </c>
      <c r="V35" s="306">
        <f t="shared" ca="1" si="3"/>
        <v>1.2246703605051885</v>
      </c>
      <c r="W35" s="304">
        <f t="shared" ca="1" si="4"/>
        <v>1.0404766268033085</v>
      </c>
      <c r="Y35" s="314" t="str">
        <f t="shared" ca="1" si="22"/>
        <v/>
      </c>
      <c r="Z35" s="315" t="str">
        <f t="shared" ca="1" si="23"/>
        <v/>
      </c>
      <c r="AA35" s="316" t="str">
        <f t="shared" ca="1" si="24"/>
        <v/>
      </c>
      <c r="AC35" s="310" t="e">
        <f t="shared" ca="1" si="25"/>
        <v>#N/A</v>
      </c>
      <c r="AD35" s="323" t="e">
        <f t="shared" ca="1" si="26"/>
        <v>#N/A</v>
      </c>
      <c r="AE35" s="324">
        <f t="shared" ca="1" si="5"/>
        <v>2.6912967567064605</v>
      </c>
      <c r="AG35" s="306">
        <f t="shared" ca="1" si="27"/>
        <v>63.936844954962645</v>
      </c>
      <c r="AH35" s="304">
        <f t="shared" ca="1" si="28"/>
        <v>73.597809012012405</v>
      </c>
    </row>
    <row r="36" spans="1:34" x14ac:dyDescent="0.25">
      <c r="A36" s="347">
        <f t="shared" ca="1" si="6"/>
        <v>0.01</v>
      </c>
      <c r="B36" s="304">
        <f t="shared" ca="1" si="7"/>
        <v>0.32000000000000012</v>
      </c>
      <c r="D36" s="306">
        <f t="shared" ca="1" si="8"/>
        <v>11.101680244507437</v>
      </c>
      <c r="E36" s="307">
        <f t="shared" ca="1" si="9"/>
        <v>62.964377601145415</v>
      </c>
      <c r="F36" s="304">
        <f t="shared" ca="1" si="10"/>
        <v>63.935593771786536</v>
      </c>
      <c r="G36" s="306">
        <f t="shared" ca="1" si="11"/>
        <v>3.4603043170215773</v>
      </c>
      <c r="H36" s="307">
        <f t="shared" ca="1" si="12"/>
        <v>19.625492550547513</v>
      </c>
      <c r="I36" s="304">
        <f t="shared" ca="1" si="13"/>
        <v>19.928212760255096</v>
      </c>
      <c r="J36" s="306">
        <f t="shared" ca="1" si="14"/>
        <v>0.50856848443781055</v>
      </c>
      <c r="K36" s="307">
        <f t="shared" ca="1" si="15"/>
        <v>2.8844034633318785</v>
      </c>
      <c r="L36" s="304">
        <f t="shared" ca="1" si="0"/>
        <v>2.9288948841916991</v>
      </c>
      <c r="M36" s="306">
        <f t="shared" ca="1" si="16"/>
        <v>1.3962634015954636</v>
      </c>
      <c r="N36" s="304">
        <f t="shared" ca="1" si="17"/>
        <v>80</v>
      </c>
      <c r="P36" s="310">
        <f t="shared" ca="1" si="18"/>
        <v>5</v>
      </c>
      <c r="Q36" s="304">
        <f t="shared" ca="1" si="19"/>
        <v>1040.1666666666667</v>
      </c>
      <c r="R36" s="306">
        <f t="shared" ca="1" si="20"/>
        <v>0.52105304002541497</v>
      </c>
      <c r="S36" s="307">
        <f t="shared" ca="1" si="21"/>
        <v>14.119222701966567</v>
      </c>
      <c r="T36" s="304">
        <f t="shared" ca="1" si="1"/>
        <v>138.50957470629203</v>
      </c>
      <c r="U36" s="311">
        <f t="shared" ca="1" si="2"/>
        <v>24.051935237169168</v>
      </c>
      <c r="V36" s="306">
        <f t="shared" ca="1" si="3"/>
        <v>1.2246467115270665</v>
      </c>
      <c r="W36" s="304">
        <f t="shared" ca="1" si="4"/>
        <v>1.1105744192356626</v>
      </c>
      <c r="Y36" s="314" t="str">
        <f t="shared" ca="1" si="22"/>
        <v/>
      </c>
      <c r="Z36" s="315" t="str">
        <f t="shared" ca="1" si="23"/>
        <v/>
      </c>
      <c r="AA36" s="316" t="str">
        <f t="shared" ca="1" si="24"/>
        <v/>
      </c>
      <c r="AC36" s="310" t="e">
        <f t="shared" ca="1" si="25"/>
        <v>#N/A</v>
      </c>
      <c r="AD36" s="323" t="e">
        <f t="shared" ca="1" si="26"/>
        <v>#N/A</v>
      </c>
      <c r="AE36" s="324">
        <f t="shared" ca="1" si="5"/>
        <v>2.8844034633318785</v>
      </c>
      <c r="AG36" s="306">
        <f t="shared" ca="1" si="27"/>
        <v>63.935593768695902</v>
      </c>
      <c r="AH36" s="304">
        <f t="shared" ca="1" si="28"/>
        <v>73.596557825745663</v>
      </c>
    </row>
    <row r="37" spans="1:34" x14ac:dyDescent="0.25">
      <c r="A37" s="347">
        <f t="shared" ca="1" si="6"/>
        <v>0.01</v>
      </c>
      <c r="B37" s="304">
        <f t="shared" ca="1" si="7"/>
        <v>0.33000000000000013</v>
      </c>
      <c r="D37" s="306">
        <f t="shared" ca="1" si="8"/>
        <v>11.101433203299592</v>
      </c>
      <c r="E37" s="307">
        <f t="shared" ca="1" si="9"/>
        <v>62.962976736331299</v>
      </c>
      <c r="F37" s="304">
        <f t="shared" ca="1" si="10"/>
        <v>63.934171291001491</v>
      </c>
      <c r="G37" s="306">
        <f t="shared" ca="1" si="11"/>
        <v>3.5713186490545734</v>
      </c>
      <c r="H37" s="307">
        <f t="shared" ca="1" si="12"/>
        <v>20.255122317910825</v>
      </c>
      <c r="I37" s="304">
        <f t="shared" ca="1" si="13"/>
        <v>20.56755447316511</v>
      </c>
      <c r="J37" s="306">
        <f t="shared" ca="1" si="14"/>
        <v>0.54372659926819134</v>
      </c>
      <c r="K37" s="307">
        <f t="shared" ca="1" si="15"/>
        <v>3.0838065376741701</v>
      </c>
      <c r="L37" s="304">
        <f t="shared" ca="1" si="0"/>
        <v>3.1313737203587988</v>
      </c>
      <c r="M37" s="306">
        <f t="shared" ca="1" si="16"/>
        <v>1.3962634015954636</v>
      </c>
      <c r="N37" s="304">
        <f t="shared" ca="1" si="17"/>
        <v>80</v>
      </c>
      <c r="P37" s="310">
        <f t="shared" ca="1" si="18"/>
        <v>5</v>
      </c>
      <c r="Q37" s="304">
        <f t="shared" ca="1" si="19"/>
        <v>1039.8333333333333</v>
      </c>
      <c r="R37" s="306">
        <f t="shared" ca="1" si="20"/>
        <v>0.52088606260512149</v>
      </c>
      <c r="S37" s="307">
        <f t="shared" ca="1" si="21"/>
        <v>14.114013841340515</v>
      </c>
      <c r="T37" s="304">
        <f t="shared" ca="1" si="1"/>
        <v>138.45847578355045</v>
      </c>
      <c r="U37" s="311">
        <f t="shared" ca="1" si="2"/>
        <v>24.04306200235435</v>
      </c>
      <c r="V37" s="306">
        <f t="shared" ca="1" si="3"/>
        <v>1.2246222919380647</v>
      </c>
      <c r="W37" s="304">
        <f t="shared" ca="1" si="4"/>
        <v>1.1829533426899215</v>
      </c>
      <c r="Y37" s="314" t="str">
        <f t="shared" ca="1" si="22"/>
        <v/>
      </c>
      <c r="Z37" s="315" t="str">
        <f t="shared" ca="1" si="23"/>
        <v/>
      </c>
      <c r="AA37" s="316" t="str">
        <f t="shared" ca="1" si="24"/>
        <v/>
      </c>
      <c r="AC37" s="310" t="e">
        <f t="shared" ca="1" si="25"/>
        <v>#N/A</v>
      </c>
      <c r="AD37" s="323" t="e">
        <f t="shared" ca="1" si="26"/>
        <v>#N/A</v>
      </c>
      <c r="AE37" s="324">
        <f t="shared" ca="1" si="5"/>
        <v>3.0838065376741701</v>
      </c>
      <c r="AG37" s="306">
        <f t="shared" ca="1" si="27"/>
        <v>63.934171287910495</v>
      </c>
      <c r="AH37" s="304">
        <f t="shared" ca="1" si="28"/>
        <v>73.595135344960255</v>
      </c>
    </row>
    <row r="38" spans="1:34" x14ac:dyDescent="0.25">
      <c r="A38" s="347">
        <f t="shared" ca="1" si="6"/>
        <v>0.01</v>
      </c>
      <c r="B38" s="304">
        <f t="shared" ca="1" si="7"/>
        <v>0.34000000000000014</v>
      </c>
      <c r="D38" s="306">
        <f t="shared" ca="1" si="8"/>
        <v>11.101156391639581</v>
      </c>
      <c r="E38" s="307">
        <f t="shared" ca="1" si="9"/>
        <v>62.961407034594131</v>
      </c>
      <c r="F38" s="304">
        <f t="shared" ca="1" si="10"/>
        <v>63.932577368720864</v>
      </c>
      <c r="G38" s="306">
        <f t="shared" ca="1" si="11"/>
        <v>3.6823302129709692</v>
      </c>
      <c r="H38" s="307">
        <f t="shared" ca="1" si="12"/>
        <v>20.884736388256766</v>
      </c>
      <c r="I38" s="304">
        <f t="shared" ca="1" si="13"/>
        <v>21.206880246852318</v>
      </c>
      <c r="J38" s="306">
        <f t="shared" ca="1" si="14"/>
        <v>0.5799948435783191</v>
      </c>
      <c r="K38" s="307">
        <f t="shared" ca="1" si="15"/>
        <v>3.2895058312050081</v>
      </c>
      <c r="L38" s="304">
        <f t="shared" ca="1" si="0"/>
        <v>3.340245893958885</v>
      </c>
      <c r="M38" s="306">
        <f t="shared" ca="1" si="16"/>
        <v>1.3962634015954636</v>
      </c>
      <c r="N38" s="304">
        <f t="shared" ca="1" si="17"/>
        <v>80</v>
      </c>
      <c r="P38" s="310">
        <f t="shared" ca="1" si="18"/>
        <v>5</v>
      </c>
      <c r="Q38" s="304">
        <f t="shared" ca="1" si="19"/>
        <v>1039.5</v>
      </c>
      <c r="R38" s="306">
        <f t="shared" ca="1" si="20"/>
        <v>0.52071908518482812</v>
      </c>
      <c r="S38" s="307">
        <f t="shared" ca="1" si="21"/>
        <v>14.108806650488667</v>
      </c>
      <c r="T38" s="304">
        <f t="shared" ca="1" si="1"/>
        <v>138.40739324129382</v>
      </c>
      <c r="U38" s="311">
        <f t="shared" ca="1" si="2"/>
        <v>24.034191611980894</v>
      </c>
      <c r="V38" s="306">
        <f t="shared" ca="1" si="3"/>
        <v>1.2245971018024759</v>
      </c>
      <c r="W38" s="304">
        <f t="shared" ca="1" si="4"/>
        <v>1.2576127679605984</v>
      </c>
      <c r="Y38" s="314" t="str">
        <f t="shared" ca="1" si="22"/>
        <v/>
      </c>
      <c r="Z38" s="315" t="str">
        <f t="shared" ca="1" si="23"/>
        <v/>
      </c>
      <c r="AA38" s="316" t="str">
        <f t="shared" ca="1" si="24"/>
        <v/>
      </c>
      <c r="AC38" s="310" t="e">
        <f t="shared" ca="1" si="25"/>
        <v>#N/A</v>
      </c>
      <c r="AD38" s="323" t="e">
        <f t="shared" ca="1" si="26"/>
        <v>#N/A</v>
      </c>
      <c r="AE38" s="324">
        <f t="shared" ca="1" si="5"/>
        <v>3.2895058312050081</v>
      </c>
      <c r="AG38" s="306">
        <f t="shared" ca="1" si="27"/>
        <v>63.932577365629491</v>
      </c>
      <c r="AH38" s="304">
        <f t="shared" ca="1" si="28"/>
        <v>73.593541422679252</v>
      </c>
    </row>
    <row r="39" spans="1:34" x14ac:dyDescent="0.25">
      <c r="A39" s="347">
        <f t="shared" ca="1" si="6"/>
        <v>0.01</v>
      </c>
      <c r="B39" s="304">
        <f t="shared" ca="1" si="7"/>
        <v>0.35000000000000014</v>
      </c>
      <c r="D39" s="306">
        <f t="shared" ca="1" si="8"/>
        <v>11.100849784398049</v>
      </c>
      <c r="E39" s="307">
        <f t="shared" ca="1" si="9"/>
        <v>62.959668353417868</v>
      </c>
      <c r="F39" s="304">
        <f t="shared" ca="1" si="10"/>
        <v>63.930811860230101</v>
      </c>
      <c r="G39" s="306">
        <f t="shared" ca="1" si="11"/>
        <v>3.7933387108149499</v>
      </c>
      <c r="H39" s="307">
        <f t="shared" ca="1" si="12"/>
        <v>21.514333071790944</v>
      </c>
      <c r="I39" s="304">
        <f t="shared" ca="1" si="13"/>
        <v>21.846188365454619</v>
      </c>
      <c r="J39" s="306">
        <f t="shared" ca="1" si="14"/>
        <v>0.61737318819724873</v>
      </c>
      <c r="K39" s="307">
        <f t="shared" ca="1" si="15"/>
        <v>3.5015011785052468</v>
      </c>
      <c r="L39" s="304">
        <f t="shared" ca="1" si="0"/>
        <v>3.5555112370204185</v>
      </c>
      <c r="M39" s="306">
        <f t="shared" ca="1" si="16"/>
        <v>1.3962634015954636</v>
      </c>
      <c r="N39" s="304">
        <f t="shared" ca="1" si="17"/>
        <v>80</v>
      </c>
      <c r="P39" s="310">
        <f t="shared" ca="1" si="18"/>
        <v>5</v>
      </c>
      <c r="Q39" s="304">
        <f t="shared" ca="1" si="19"/>
        <v>1039.1666666666667</v>
      </c>
      <c r="R39" s="306">
        <f t="shared" ca="1" si="20"/>
        <v>0.52055210776453487</v>
      </c>
      <c r="S39" s="307">
        <f t="shared" ca="1" si="21"/>
        <v>14.103601129411022</v>
      </c>
      <c r="T39" s="304">
        <f t="shared" ca="1" si="1"/>
        <v>138.35632707952212</v>
      </c>
      <c r="U39" s="311">
        <f t="shared" ca="1" si="2"/>
        <v>24.025324066048793</v>
      </c>
      <c r="V39" s="306">
        <f t="shared" ca="1" si="3"/>
        <v>1.2245711411881153</v>
      </c>
      <c r="W39" s="304">
        <f t="shared" ca="1" si="4"/>
        <v>1.3345520325743829</v>
      </c>
      <c r="Y39" s="314" t="str">
        <f t="shared" ca="1" si="22"/>
        <v/>
      </c>
      <c r="Z39" s="315" t="str">
        <f t="shared" ca="1" si="23"/>
        <v/>
      </c>
      <c r="AA39" s="316" t="str">
        <f t="shared" ca="1" si="24"/>
        <v/>
      </c>
      <c r="AC39" s="310" t="e">
        <f t="shared" ca="1" si="25"/>
        <v>#N/A</v>
      </c>
      <c r="AD39" s="323" t="e">
        <f t="shared" ca="1" si="26"/>
        <v>#N/A</v>
      </c>
      <c r="AE39" s="324">
        <f t="shared" ca="1" si="5"/>
        <v>3.5015011785052468</v>
      </c>
      <c r="AG39" s="306">
        <f t="shared" ca="1" si="27"/>
        <v>63.930811857138345</v>
      </c>
      <c r="AH39" s="304">
        <f t="shared" ca="1" si="28"/>
        <v>73.591775914188105</v>
      </c>
    </row>
    <row r="40" spans="1:34" x14ac:dyDescent="0.25">
      <c r="A40" s="347">
        <f t="shared" ca="1" si="6"/>
        <v>0.01</v>
      </c>
      <c r="B40" s="304">
        <f t="shared" ca="1" si="7"/>
        <v>0.36000000000000015</v>
      </c>
      <c r="D40" s="306">
        <f t="shared" ca="1" si="8"/>
        <v>11.10051335683946</v>
      </c>
      <c r="E40" s="307">
        <f t="shared" ca="1" si="9"/>
        <v>62.957760552519929</v>
      </c>
      <c r="F40" s="304">
        <f t="shared" ca="1" si="10"/>
        <v>63.928874623082528</v>
      </c>
      <c r="G40" s="306">
        <f t="shared" ca="1" si="11"/>
        <v>3.9043438443833445</v>
      </c>
      <c r="H40" s="307">
        <f t="shared" ca="1" si="12"/>
        <v>22.143910677316143</v>
      </c>
      <c r="I40" s="304">
        <f t="shared" ca="1" si="13"/>
        <v>22.485477111685444</v>
      </c>
      <c r="J40" s="306">
        <f t="shared" ca="1" si="14"/>
        <v>0.6558616009732402</v>
      </c>
      <c r="K40" s="307">
        <f t="shared" ca="1" si="15"/>
        <v>3.719792397250782</v>
      </c>
      <c r="L40" s="304">
        <f t="shared" ca="1" si="0"/>
        <v>3.7771695644061176</v>
      </c>
      <c r="M40" s="306">
        <f t="shared" ca="1" si="16"/>
        <v>1.3962634015954636</v>
      </c>
      <c r="N40" s="304">
        <f t="shared" ca="1" si="17"/>
        <v>80</v>
      </c>
      <c r="P40" s="310">
        <f t="shared" ca="1" si="18"/>
        <v>5</v>
      </c>
      <c r="Q40" s="304">
        <f t="shared" ca="1" si="19"/>
        <v>1038.8333333333333</v>
      </c>
      <c r="R40" s="306">
        <f t="shared" ca="1" si="20"/>
        <v>0.52038513034424139</v>
      </c>
      <c r="S40" s="307">
        <f t="shared" ca="1" si="21"/>
        <v>14.09839727810758</v>
      </c>
      <c r="T40" s="304">
        <f t="shared" ca="1" si="1"/>
        <v>138.30527729823535</v>
      </c>
      <c r="U40" s="311">
        <f t="shared" ca="1" si="2"/>
        <v>24.016459364558049</v>
      </c>
      <c r="V40" s="306">
        <f t="shared" ca="1" si="3"/>
        <v>1.2245444101663172</v>
      </c>
      <c r="W40" s="304">
        <f t="shared" ca="1" si="4"/>
        <v>1.4137704407760048</v>
      </c>
      <c r="Y40" s="314" t="str">
        <f t="shared" ca="1" si="22"/>
        <v>Sortie de rampe</v>
      </c>
      <c r="Z40" s="315" t="str">
        <f t="shared" ca="1" si="23"/>
        <v/>
      </c>
      <c r="AA40" s="316" t="str">
        <f t="shared" ca="1" si="24"/>
        <v/>
      </c>
      <c r="AC40" s="310" t="e">
        <f t="shared" ca="1" si="25"/>
        <v>#N/A</v>
      </c>
      <c r="AD40" s="323" t="e">
        <f t="shared" ca="1" si="26"/>
        <v>#N/A</v>
      </c>
      <c r="AE40" s="324">
        <f t="shared" ca="1" si="5"/>
        <v>3.719792397250782</v>
      </c>
      <c r="AG40" s="306">
        <f t="shared" ca="1" si="27"/>
        <v>63.928874619990388</v>
      </c>
      <c r="AH40" s="304">
        <f t="shared" ca="1" si="28"/>
        <v>73.589838677040149</v>
      </c>
    </row>
    <row r="41" spans="1:34" x14ac:dyDescent="0.25">
      <c r="A41" s="347">
        <f t="shared" ca="1" si="6"/>
        <v>0.01</v>
      </c>
      <c r="B41" s="304">
        <f t="shared" ca="1" si="7"/>
        <v>0.37000000000000016</v>
      </c>
      <c r="D41" s="306">
        <f t="shared" ca="1" si="8"/>
        <v>11.100147084623035</v>
      </c>
      <c r="E41" s="307">
        <f t="shared" ca="1" si="9"/>
        <v>62.955683493856498</v>
      </c>
      <c r="F41" s="304">
        <f t="shared" ca="1" si="10"/>
        <v>63.926765517104812</v>
      </c>
      <c r="G41" s="306">
        <f t="shared" ca="1" si="11"/>
        <v>4.0153453152295748</v>
      </c>
      <c r="H41" s="307">
        <f t="shared" ca="1" si="12"/>
        <v>22.773467512254708</v>
      </c>
      <c r="I41" s="304">
        <f t="shared" ca="1" si="13"/>
        <v>23.124744766856494</v>
      </c>
      <c r="J41" s="306">
        <f t="shared" ca="1" si="14"/>
        <v>0.6954600467713048</v>
      </c>
      <c r="K41" s="307">
        <f t="shared" ca="1" si="15"/>
        <v>3.9443792881986361</v>
      </c>
      <c r="L41" s="304">
        <f t="shared" ca="1" si="0"/>
        <v>4.005220673798827</v>
      </c>
      <c r="M41" s="306">
        <f t="shared" ca="1" si="16"/>
        <v>1.3962634015954636</v>
      </c>
      <c r="N41" s="304">
        <f t="shared" ca="1" si="17"/>
        <v>80</v>
      </c>
      <c r="P41" s="310">
        <f t="shared" ca="1" si="18"/>
        <v>5</v>
      </c>
      <c r="Q41" s="304">
        <f t="shared" ca="1" si="19"/>
        <v>1038.5</v>
      </c>
      <c r="R41" s="306">
        <f t="shared" ca="1" si="20"/>
        <v>0.52021815292394813</v>
      </c>
      <c r="S41" s="307">
        <f t="shared" ca="1" si="21"/>
        <v>14.09319509657834</v>
      </c>
      <c r="T41" s="304">
        <f t="shared" ca="1" si="1"/>
        <v>138.25424389743353</v>
      </c>
      <c r="U41" s="311">
        <f t="shared" ca="1" si="2"/>
        <v>0</v>
      </c>
      <c r="V41" s="306">
        <f t="shared" ca="1" si="3"/>
        <v>1.2245169088119399</v>
      </c>
      <c r="W41" s="304">
        <f t="shared" ca="1" si="4"/>
        <v>1.4952672635150976</v>
      </c>
      <c r="Y41" s="314" t="str">
        <f t="shared" ca="1" si="22"/>
        <v/>
      </c>
      <c r="Z41" s="315" t="str">
        <f t="shared" ca="1" si="23"/>
        <v/>
      </c>
      <c r="AA41" s="316" t="str">
        <f t="shared" ca="1" si="24"/>
        <v/>
      </c>
      <c r="AC41" s="310" t="e">
        <f t="shared" ca="1" si="25"/>
        <v>#N/A</v>
      </c>
      <c r="AD41" s="323" t="e">
        <f t="shared" ca="1" si="26"/>
        <v>#N/A</v>
      </c>
      <c r="AE41" s="324">
        <f t="shared" ca="1" si="5"/>
        <v>3.9443792881986361</v>
      </c>
      <c r="AG41" s="306">
        <f t="shared" ca="1" si="27"/>
        <v>63.926765514012253</v>
      </c>
      <c r="AH41" s="304">
        <f t="shared" ca="1" si="28"/>
        <v>73.587729571062013</v>
      </c>
    </row>
    <row r="42" spans="1:34" x14ac:dyDescent="0.25">
      <c r="A42" s="347">
        <f t="shared" ca="1" si="6"/>
        <v>0.01</v>
      </c>
      <c r="B42" s="304">
        <f t="shared" ca="1" si="7"/>
        <v>0.38000000000000017</v>
      </c>
      <c r="D42" s="306">
        <f t="shared" ca="1" si="8"/>
        <v>12.777979027597821</v>
      </c>
      <c r="E42" s="307">
        <f t="shared" ca="1" si="9"/>
        <v>62.657520150671871</v>
      </c>
      <c r="F42" s="304">
        <f t="shared" ca="1" si="10"/>
        <v>63.94717804142401</v>
      </c>
      <c r="G42" s="306">
        <f t="shared" ca="1" si="11"/>
        <v>4.1431251055055531</v>
      </c>
      <c r="H42" s="307">
        <f t="shared" ca="1" si="12"/>
        <v>23.400042713761426</v>
      </c>
      <c r="I42" s="304">
        <f t="shared" ca="1" si="13"/>
        <v>23.763995553057352</v>
      </c>
      <c r="J42" s="306">
        <f t="shared" ca="1" si="14"/>
        <v>0.7362523988749804</v>
      </c>
      <c r="K42" s="307">
        <f t="shared" ca="1" si="15"/>
        <v>4.1752468393287172</v>
      </c>
      <c r="L42" s="304">
        <f t="shared" ca="1" si="0"/>
        <v>4.2396643456969105</v>
      </c>
      <c r="M42" s="306">
        <f t="shared" ca="1" si="16"/>
        <v>1.3955561572100661</v>
      </c>
      <c r="N42" s="304">
        <f t="shared" ca="1" si="17"/>
        <v>79.959477881632395</v>
      </c>
      <c r="P42" s="310">
        <f t="shared" ca="1" si="18"/>
        <v>5</v>
      </c>
      <c r="Q42" s="304">
        <f t="shared" ca="1" si="19"/>
        <v>1038.1666666666667</v>
      </c>
      <c r="R42" s="306">
        <f t="shared" ca="1" si="20"/>
        <v>0.52005117550365476</v>
      </c>
      <c r="S42" s="307">
        <f t="shared" ca="1" si="21"/>
        <v>14.087994584823303</v>
      </c>
      <c r="T42" s="304">
        <f t="shared" ca="1" si="1"/>
        <v>138.20322687711661</v>
      </c>
      <c r="U42" s="311">
        <f t="shared" ca="1" si="2"/>
        <v>0</v>
      </c>
      <c r="V42" s="306">
        <f t="shared" ca="1" si="3"/>
        <v>1.2244886390150991</v>
      </c>
      <c r="W42" s="304">
        <f t="shared" ca="1" si="4"/>
        <v>1.5790425304454332</v>
      </c>
      <c r="Y42" s="314" t="str">
        <f t="shared" ca="1" si="22"/>
        <v/>
      </c>
      <c r="Z42" s="315" t="str">
        <f t="shared" ca="1" si="23"/>
        <v/>
      </c>
      <c r="AA42" s="316" t="str">
        <f t="shared" ca="1" si="24"/>
        <v/>
      </c>
      <c r="AC42" s="310" t="e">
        <f t="shared" ca="1" si="25"/>
        <v>#N/A</v>
      </c>
      <c r="AD42" s="323" t="e">
        <f t="shared" ca="1" si="26"/>
        <v>#N/A</v>
      </c>
      <c r="AE42" s="324">
        <f t="shared" ca="1" si="5"/>
        <v>4.1752468393287172</v>
      </c>
      <c r="AG42" s="306">
        <f t="shared" ca="1" si="27"/>
        <v>63.924484401308938</v>
      </c>
      <c r="AH42" s="304">
        <f t="shared" ca="1" si="28"/>
        <v>73.585448458358698</v>
      </c>
    </row>
    <row r="43" spans="1:34" x14ac:dyDescent="0.25">
      <c r="A43" s="347">
        <f t="shared" ca="1" si="6"/>
        <v>0.01</v>
      </c>
      <c r="B43" s="304">
        <f t="shared" ca="1" si="7"/>
        <v>0.39000000000000018</v>
      </c>
      <c r="D43" s="306">
        <f t="shared" ca="1" si="8"/>
        <v>12.828800352680414</v>
      </c>
      <c r="E43" s="307">
        <f t="shared" ca="1" si="9"/>
        <v>62.6460491355013</v>
      </c>
      <c r="F43" s="304">
        <f t="shared" ca="1" si="10"/>
        <v>63.946114743403896</v>
      </c>
      <c r="G43" s="306">
        <f t="shared" ca="1" si="11"/>
        <v>4.2714131090323573</v>
      </c>
      <c r="H43" s="307">
        <f t="shared" ca="1" si="12"/>
        <v>24.026503205116438</v>
      </c>
      <c r="I43" s="304">
        <f t="shared" ca="1" si="13"/>
        <v>24.403233929409517</v>
      </c>
      <c r="J43" s="306">
        <f t="shared" ca="1" si="14"/>
        <v>0.77832508994766991</v>
      </c>
      <c r="K43" s="307">
        <f t="shared" ca="1" si="15"/>
        <v>4.4123795689231065</v>
      </c>
      <c r="L43" s="304">
        <f t="shared" ca="1" si="0"/>
        <v>4.4805003521807816</v>
      </c>
      <c r="M43" s="306">
        <f t="shared" ca="1" si="16"/>
        <v>1.3948552988714302</v>
      </c>
      <c r="N43" s="304">
        <f t="shared" ca="1" si="17"/>
        <v>79.919321656792008</v>
      </c>
      <c r="P43" s="310">
        <f t="shared" ca="1" si="18"/>
        <v>5</v>
      </c>
      <c r="Q43" s="304">
        <f t="shared" ca="1" si="19"/>
        <v>1037.8333333333333</v>
      </c>
      <c r="R43" s="306">
        <f t="shared" ca="1" si="20"/>
        <v>0.51988419808336139</v>
      </c>
      <c r="S43" s="307">
        <f t="shared" ca="1" si="21"/>
        <v>14.082795742842469</v>
      </c>
      <c r="T43" s="304">
        <f t="shared" ca="1" si="1"/>
        <v>138.15222623728462</v>
      </c>
      <c r="U43" s="311">
        <f t="shared" ca="1" si="2"/>
        <v>0</v>
      </c>
      <c r="V43" s="306">
        <f t="shared" ca="1" si="3"/>
        <v>1.2244596027247019</v>
      </c>
      <c r="W43" s="304">
        <f t="shared" ca="1" si="4"/>
        <v>1.6650963559079157</v>
      </c>
      <c r="Y43" s="314" t="str">
        <f t="shared" ca="1" si="22"/>
        <v/>
      </c>
      <c r="Z43" s="315" t="str">
        <f t="shared" ca="1" si="23"/>
        <v/>
      </c>
      <c r="AA43" s="316" t="str">
        <f t="shared" ca="1" si="24"/>
        <v/>
      </c>
      <c r="AC43" s="310" t="e">
        <f t="shared" ca="1" si="25"/>
        <v>#N/A</v>
      </c>
      <c r="AD43" s="323" t="e">
        <f t="shared" ca="1" si="26"/>
        <v>#N/A</v>
      </c>
      <c r="AE43" s="324">
        <f t="shared" ca="1" si="5"/>
        <v>4.4123795689231065</v>
      </c>
      <c r="AG43" s="306">
        <f t="shared" ca="1" si="27"/>
        <v>63.923238288874373</v>
      </c>
      <c r="AH43" s="304">
        <f t="shared" ca="1" si="28"/>
        <v>73.582995147079401</v>
      </c>
    </row>
    <row r="44" spans="1:34" x14ac:dyDescent="0.25">
      <c r="A44" s="347">
        <f t="shared" ca="1" si="6"/>
        <v>0.01</v>
      </c>
      <c r="B44" s="304">
        <f t="shared" ca="1" si="7"/>
        <v>0.40000000000000019</v>
      </c>
      <c r="D44" s="306">
        <f t="shared" ca="1" si="8"/>
        <v>12.879119033943272</v>
      </c>
      <c r="E44" s="307">
        <f t="shared" ca="1" si="9"/>
        <v>62.634454996350044</v>
      </c>
      <c r="F44" s="304">
        <f t="shared" ca="1" si="10"/>
        <v>63.944872036624474</v>
      </c>
      <c r="G44" s="306">
        <f t="shared" ca="1" si="11"/>
        <v>4.40020429937179</v>
      </c>
      <c r="H44" s="307">
        <f t="shared" ca="1" si="12"/>
        <v>24.652847755079939</v>
      </c>
      <c r="I44" s="304">
        <f t="shared" ca="1" si="13"/>
        <v>25.042457952672297</v>
      </c>
      <c r="J44" s="306">
        <f t="shared" ca="1" si="14"/>
        <v>0.82168317698969062</v>
      </c>
      <c r="K44" s="307">
        <f t="shared" ca="1" si="15"/>
        <v>4.6557763237240888</v>
      </c>
      <c r="L44" s="304">
        <f t="shared" ca="1" si="0"/>
        <v>4.7277284630039471</v>
      </c>
      <c r="M44" s="306">
        <f t="shared" ca="1" si="16"/>
        <v>1.394169627082656</v>
      </c>
      <c r="N44" s="304">
        <f t="shared" ca="1" si="17"/>
        <v>79.880035557164064</v>
      </c>
      <c r="P44" s="310">
        <f t="shared" ca="1" si="18"/>
        <v>5</v>
      </c>
      <c r="Q44" s="304">
        <f t="shared" ca="1" si="19"/>
        <v>1037.5</v>
      </c>
      <c r="R44" s="306">
        <f t="shared" ca="1" si="20"/>
        <v>0.51971722066306802</v>
      </c>
      <c r="S44" s="307">
        <f t="shared" ca="1" si="21"/>
        <v>14.077598570635839</v>
      </c>
      <c r="T44" s="304">
        <f t="shared" ca="1" si="1"/>
        <v>138.10124197793758</v>
      </c>
      <c r="U44" s="311">
        <f t="shared" ca="1" si="2"/>
        <v>0</v>
      </c>
      <c r="V44" s="306">
        <f t="shared" ca="1" si="3"/>
        <v>1.2244298001364951</v>
      </c>
      <c r="W44" s="304">
        <f t="shared" ca="1" si="4"/>
        <v>1.7534280108547369</v>
      </c>
      <c r="Y44" s="314" t="str">
        <f t="shared" ca="1" si="22"/>
        <v/>
      </c>
      <c r="Z44" s="315" t="str">
        <f t="shared" ca="1" si="23"/>
        <v/>
      </c>
      <c r="AA44" s="316" t="str">
        <f t="shared" ca="1" si="24"/>
        <v/>
      </c>
      <c r="AC44" s="310" t="e">
        <f t="shared" ca="1" si="25"/>
        <v>#N/A</v>
      </c>
      <c r="AD44" s="323" t="e">
        <f t="shared" ca="1" si="26"/>
        <v>#N/A</v>
      </c>
      <c r="AE44" s="324">
        <f t="shared" ca="1" si="5"/>
        <v>4.6557763237240888</v>
      </c>
      <c r="AG44" s="306">
        <f t="shared" ca="1" si="27"/>
        <v>63.921813645977039</v>
      </c>
      <c r="AH44" s="304">
        <f t="shared" ca="1" si="28"/>
        <v>73.580369439196673</v>
      </c>
    </row>
    <row r="45" spans="1:34" x14ac:dyDescent="0.25">
      <c r="A45" s="347">
        <f t="shared" ca="1" si="6"/>
        <v>0.01</v>
      </c>
      <c r="B45" s="304">
        <f t="shared" ca="1" si="7"/>
        <v>0.4100000000000002</v>
      </c>
      <c r="D45" s="306">
        <f t="shared" ca="1" si="8"/>
        <v>12.928297442998574</v>
      </c>
      <c r="E45" s="307">
        <f t="shared" ca="1" si="9"/>
        <v>62.622852410997424</v>
      </c>
      <c r="F45" s="304">
        <f t="shared" ca="1" si="10"/>
        <v>63.943432179264583</v>
      </c>
      <c r="G45" s="306">
        <f t="shared" ca="1" si="11"/>
        <v>4.5294872738017755</v>
      </c>
      <c r="H45" s="307">
        <f t="shared" ca="1" si="12"/>
        <v>25.279076279189912</v>
      </c>
      <c r="I45" s="304">
        <f t="shared" ca="1" si="13"/>
        <v>25.681665687658079</v>
      </c>
      <c r="J45" s="306">
        <f t="shared" ca="1" si="14"/>
        <v>0.86633163485555842</v>
      </c>
      <c r="K45" s="307">
        <f t="shared" ca="1" si="15"/>
        <v>4.905435943895438</v>
      </c>
      <c r="L45" s="304">
        <f t="shared" ca="1" si="0"/>
        <v>4.9813484420599243</v>
      </c>
      <c r="M45" s="306">
        <f t="shared" ca="1" si="16"/>
        <v>1.3934984428592982</v>
      </c>
      <c r="N45" s="304">
        <f t="shared" ca="1" si="17"/>
        <v>79.841579533889899</v>
      </c>
      <c r="P45" s="310">
        <f t="shared" ca="1" si="18"/>
        <v>5</v>
      </c>
      <c r="Q45" s="304">
        <f t="shared" ca="1" si="19"/>
        <v>1037.1666666666667</v>
      </c>
      <c r="R45" s="306">
        <f t="shared" ca="1" si="20"/>
        <v>0.51955024324277477</v>
      </c>
      <c r="S45" s="307">
        <f t="shared" ca="1" si="21"/>
        <v>14.07240306820341</v>
      </c>
      <c r="T45" s="304">
        <f t="shared" ca="1" si="1"/>
        <v>138.05027409907547</v>
      </c>
      <c r="U45" s="311">
        <f t="shared" ca="1" si="2"/>
        <v>0</v>
      </c>
      <c r="V45" s="306">
        <f t="shared" ca="1" si="3"/>
        <v>1.2243992314484553</v>
      </c>
      <c r="W45" s="304">
        <f t="shared" ca="1" si="4"/>
        <v>1.8440367311391441</v>
      </c>
      <c r="Y45" s="314" t="str">
        <f t="shared" ca="1" si="22"/>
        <v/>
      </c>
      <c r="Z45" s="315" t="str">
        <f t="shared" ca="1" si="23"/>
        <v/>
      </c>
      <c r="AA45" s="316" t="str">
        <f t="shared" ca="1" si="24"/>
        <v/>
      </c>
      <c r="AC45" s="310" t="e">
        <f t="shared" ca="1" si="25"/>
        <v>#N/A</v>
      </c>
      <c r="AD45" s="323" t="e">
        <f t="shared" ca="1" si="26"/>
        <v>#N/A</v>
      </c>
      <c r="AE45" s="324">
        <f t="shared" ca="1" si="5"/>
        <v>4.905435943895438</v>
      </c>
      <c r="AG45" s="306">
        <f t="shared" ca="1" si="27"/>
        <v>63.920195034153437</v>
      </c>
      <c r="AH45" s="304">
        <f t="shared" ca="1" si="28"/>
        <v>73.577571196445319</v>
      </c>
    </row>
    <row r="46" spans="1:34" x14ac:dyDescent="0.25">
      <c r="A46" s="347">
        <f t="shared" ca="1" si="6"/>
        <v>0.01</v>
      </c>
      <c r="B46" s="304">
        <f t="shared" ca="1" si="7"/>
        <v>0.42000000000000021</v>
      </c>
      <c r="D46" s="306">
        <f t="shared" ca="1" si="8"/>
        <v>12.976386333731298</v>
      </c>
      <c r="E46" s="307">
        <f t="shared" ca="1" si="9"/>
        <v>62.611234486282513</v>
      </c>
      <c r="F46" s="304">
        <f t="shared" ca="1" si="10"/>
        <v>63.941796081893891</v>
      </c>
      <c r="G46" s="306">
        <f t="shared" ca="1" si="11"/>
        <v>4.6592511371390888</v>
      </c>
      <c r="H46" s="307">
        <f t="shared" ca="1" si="12"/>
        <v>25.905188624052737</v>
      </c>
      <c r="I46" s="304">
        <f t="shared" ca="1" si="13"/>
        <v>26.320855206597738</v>
      </c>
      <c r="J46" s="306">
        <f t="shared" ca="1" si="14"/>
        <v>0.9122753269102627</v>
      </c>
      <c r="K46" s="307">
        <f t="shared" ca="1" si="15"/>
        <v>5.1613572684116509</v>
      </c>
      <c r="L46" s="304">
        <f t="shared" ca="1" si="0"/>
        <v>5.241360045281664</v>
      </c>
      <c r="M46" s="306">
        <f t="shared" ca="1" si="16"/>
        <v>1.3928410955370736</v>
      </c>
      <c r="N46" s="304">
        <f t="shared" ca="1" si="17"/>
        <v>79.803916306652198</v>
      </c>
      <c r="P46" s="310">
        <f t="shared" ca="1" si="18"/>
        <v>5</v>
      </c>
      <c r="Q46" s="304">
        <f t="shared" ca="1" si="19"/>
        <v>1036.8333333333333</v>
      </c>
      <c r="R46" s="306">
        <f t="shared" ca="1" si="20"/>
        <v>0.51938326582248129</v>
      </c>
      <c r="S46" s="307">
        <f t="shared" ca="1" si="21"/>
        <v>14.067209235545185</v>
      </c>
      <c r="T46" s="304">
        <f t="shared" ca="1" si="1"/>
        <v>137.99932260069826</v>
      </c>
      <c r="U46" s="311">
        <f t="shared" ca="1" si="2"/>
        <v>0</v>
      </c>
      <c r="V46" s="306">
        <f t="shared" ca="1" si="3"/>
        <v>1.2243678968601266</v>
      </c>
      <c r="W46" s="304">
        <f t="shared" ca="1" si="4"/>
        <v>1.9369217175770126</v>
      </c>
      <c r="Y46" s="314" t="str">
        <f t="shared" ca="1" si="22"/>
        <v/>
      </c>
      <c r="Z46" s="315" t="str">
        <f t="shared" ca="1" si="23"/>
        <v/>
      </c>
      <c r="AA46" s="316" t="str">
        <f t="shared" ca="1" si="24"/>
        <v/>
      </c>
      <c r="AC46" s="310" t="e">
        <f t="shared" ca="1" si="25"/>
        <v>#N/A</v>
      </c>
      <c r="AD46" s="323" t="e">
        <f t="shared" ca="1" si="26"/>
        <v>#N/A</v>
      </c>
      <c r="AE46" s="324">
        <f t="shared" ca="1" si="5"/>
        <v>5.1613572684116509</v>
      </c>
      <c r="AG46" s="306">
        <f t="shared" ca="1" si="27"/>
        <v>63.918383224668666</v>
      </c>
      <c r="AH46" s="304">
        <f t="shared" ca="1" si="28"/>
        <v>73.574600282973776</v>
      </c>
    </row>
    <row r="47" spans="1:34" x14ac:dyDescent="0.25">
      <c r="A47" s="347">
        <f t="shared" ca="1" si="6"/>
        <v>0.01</v>
      </c>
      <c r="B47" s="304">
        <f t="shared" ca="1" si="7"/>
        <v>0.43000000000000022</v>
      </c>
      <c r="D47" s="306">
        <f t="shared" ca="1" si="8"/>
        <v>13.023432938346737</v>
      </c>
      <c r="E47" s="307">
        <f t="shared" ca="1" si="9"/>
        <v>62.599594776153467</v>
      </c>
      <c r="F47" s="304">
        <f t="shared" ca="1" si="10"/>
        <v>63.93996458896607</v>
      </c>
      <c r="G47" s="306">
        <f t="shared" ca="1" si="11"/>
        <v>4.7894854665225566</v>
      </c>
      <c r="H47" s="307">
        <f t="shared" ca="1" si="12"/>
        <v>26.531184571814272</v>
      </c>
      <c r="I47" s="304">
        <f t="shared" ca="1" si="13"/>
        <v>26.960024588596102</v>
      </c>
      <c r="J47" s="306">
        <f t="shared" ca="1" si="14"/>
        <v>0.95951900992857087</v>
      </c>
      <c r="K47" s="307">
        <f t="shared" ca="1" si="15"/>
        <v>5.4235391343909862</v>
      </c>
      <c r="L47" s="304">
        <f t="shared" ca="1" si="0"/>
        <v>5.5077630189292668</v>
      </c>
      <c r="M47" s="306">
        <f t="shared" ca="1" si="16"/>
        <v>1.392196978365446</v>
      </c>
      <c r="N47" s="304">
        <f t="shared" ca="1" si="17"/>
        <v>79.767011111206031</v>
      </c>
      <c r="P47" s="310">
        <f t="shared" ca="1" si="18"/>
        <v>5</v>
      </c>
      <c r="Q47" s="304">
        <f t="shared" ca="1" si="19"/>
        <v>1036.5</v>
      </c>
      <c r="R47" s="306">
        <f t="shared" ca="1" si="20"/>
        <v>0.51921628840218792</v>
      </c>
      <c r="S47" s="307">
        <f t="shared" ca="1" si="21"/>
        <v>14.062017072661163</v>
      </c>
      <c r="T47" s="304">
        <f t="shared" ca="1" si="1"/>
        <v>137.94838748280603</v>
      </c>
      <c r="U47" s="311">
        <f t="shared" ca="1" si="2"/>
        <v>0</v>
      </c>
      <c r="V47" s="306">
        <f t="shared" ca="1" si="3"/>
        <v>1.2243357965727013</v>
      </c>
      <c r="W47" s="304">
        <f t="shared" ca="1" si="4"/>
        <v>2.0320821360098087</v>
      </c>
      <c r="Y47" s="314" t="str">
        <f t="shared" ca="1" si="22"/>
        <v/>
      </c>
      <c r="Z47" s="315" t="str">
        <f t="shared" ca="1" si="23"/>
        <v/>
      </c>
      <c r="AA47" s="316" t="str">
        <f t="shared" ca="1" si="24"/>
        <v/>
      </c>
      <c r="AC47" s="310" t="e">
        <f t="shared" ca="1" si="25"/>
        <v>#N/A</v>
      </c>
      <c r="AD47" s="323" t="e">
        <f t="shared" ca="1" si="26"/>
        <v>#N/A</v>
      </c>
      <c r="AE47" s="324">
        <f t="shared" ca="1" si="5"/>
        <v>5.4235391343909862</v>
      </c>
      <c r="AG47" s="306">
        <f t="shared" ca="1" si="27"/>
        <v>63.91637893176302</v>
      </c>
      <c r="AH47" s="304">
        <f t="shared" ca="1" si="28"/>
        <v>73.571456565344462</v>
      </c>
    </row>
    <row r="48" spans="1:34" x14ac:dyDescent="0.25">
      <c r="A48" s="347">
        <f t="shared" ca="1" si="6"/>
        <v>0.01</v>
      </c>
      <c r="B48" s="304">
        <f t="shared" ca="1" si="7"/>
        <v>0.44000000000000022</v>
      </c>
      <c r="D48" s="306">
        <f t="shared" ca="1" si="8"/>
        <v>13.069481288945912</v>
      </c>
      <c r="E48" s="307">
        <f t="shared" ca="1" si="9"/>
        <v>62.587927242622328</v>
      </c>
      <c r="F48" s="304">
        <f t="shared" ca="1" si="10"/>
        <v>63.937938484829914</v>
      </c>
      <c r="G48" s="306">
        <f t="shared" ca="1" si="11"/>
        <v>4.9201802794120155</v>
      </c>
      <c r="H48" s="307">
        <f t="shared" ca="1" si="12"/>
        <v>27.157063844240497</v>
      </c>
      <c r="I48" s="304">
        <f t="shared" ca="1" si="13"/>
        <v>27.599171919136801</v>
      </c>
      <c r="J48" s="306">
        <f t="shared" ca="1" si="14"/>
        <v>1.0080673386582437</v>
      </c>
      <c r="K48" s="307">
        <f t="shared" ca="1" si="15"/>
        <v>5.6919803764712604</v>
      </c>
      <c r="L48" s="304">
        <f t="shared" ca="1" si="0"/>
        <v>5.7805570981872867</v>
      </c>
      <c r="M48" s="306">
        <f t="shared" ca="1" si="16"/>
        <v>1.3915655245957534</v>
      </c>
      <c r="N48" s="304">
        <f t="shared" ca="1" si="17"/>
        <v>79.730831475245026</v>
      </c>
      <c r="P48" s="310">
        <f t="shared" ca="1" si="18"/>
        <v>5</v>
      </c>
      <c r="Q48" s="304">
        <f t="shared" ca="1" si="19"/>
        <v>1036.1666666666667</v>
      </c>
      <c r="R48" s="306">
        <f t="shared" ca="1" si="20"/>
        <v>0.51904931098189466</v>
      </c>
      <c r="S48" s="307">
        <f t="shared" ca="1" si="21"/>
        <v>14.056826579551345</v>
      </c>
      <c r="T48" s="304">
        <f t="shared" ca="1" si="1"/>
        <v>137.8974687453987</v>
      </c>
      <c r="U48" s="311">
        <f t="shared" ca="1" si="2"/>
        <v>0</v>
      </c>
      <c r="V48" s="306">
        <f t="shared" ca="1" si="3"/>
        <v>1.2243029307890958</v>
      </c>
      <c r="W48" s="304">
        <f t="shared" ca="1" si="4"/>
        <v>2.1295171173640082</v>
      </c>
      <c r="Y48" s="314" t="str">
        <f t="shared" ca="1" si="22"/>
        <v/>
      </c>
      <c r="Z48" s="315" t="str">
        <f t="shared" ca="1" si="23"/>
        <v/>
      </c>
      <c r="AA48" s="316" t="str">
        <f t="shared" ca="1" si="24"/>
        <v/>
      </c>
      <c r="AC48" s="310" t="e">
        <f t="shared" ca="1" si="25"/>
        <v>#N/A</v>
      </c>
      <c r="AD48" s="323" t="e">
        <f t="shared" ca="1" si="26"/>
        <v>#N/A</v>
      </c>
      <c r="AE48" s="324">
        <f t="shared" ca="1" si="5"/>
        <v>5.6919803764712604</v>
      </c>
      <c r="AG48" s="306">
        <f t="shared" ca="1" si="27"/>
        <v>63.914182817865878</v>
      </c>
      <c r="AH48" s="304">
        <f t="shared" ca="1" si="28"/>
        <v>73.568139912533766</v>
      </c>
    </row>
    <row r="49" spans="1:34" x14ac:dyDescent="0.25">
      <c r="A49" s="347">
        <f t="shared" ca="1" si="6"/>
        <v>0.01</v>
      </c>
      <c r="B49" s="304">
        <f t="shared" ca="1" si="7"/>
        <v>0.45000000000000023</v>
      </c>
      <c r="D49" s="306">
        <f t="shared" ca="1" si="8"/>
        <v>13.114572502985137</v>
      </c>
      <c r="E49" s="307">
        <f t="shared" ca="1" si="9"/>
        <v>62.576226220972941</v>
      </c>
      <c r="F49" s="304">
        <f t="shared" ca="1" si="10"/>
        <v>63.935718499086533</v>
      </c>
      <c r="G49" s="306">
        <f t="shared" ca="1" si="11"/>
        <v>5.0513260044418669</v>
      </c>
      <c r="H49" s="307">
        <f t="shared" ca="1" si="12"/>
        <v>27.782826106450226</v>
      </c>
      <c r="I49" s="304">
        <f t="shared" ca="1" si="13"/>
        <v>28.238295289631115</v>
      </c>
      <c r="J49" s="306">
        <f t="shared" ca="1" si="14"/>
        <v>1.0579248700775132</v>
      </c>
      <c r="K49" s="307">
        <f t="shared" ca="1" si="15"/>
        <v>5.9666798262247145</v>
      </c>
      <c r="L49" s="304">
        <f t="shared" ca="1" si="0"/>
        <v>6.0597420060102811</v>
      </c>
      <c r="M49" s="306">
        <f t="shared" ca="1" si="16"/>
        <v>1.3909462039984359</v>
      </c>
      <c r="N49" s="304">
        <f t="shared" ca="1" si="17"/>
        <v>79.695347018853212</v>
      </c>
      <c r="P49" s="310">
        <f t="shared" ca="1" si="18"/>
        <v>5</v>
      </c>
      <c r="Q49" s="304">
        <f t="shared" ca="1" si="19"/>
        <v>1035.8333333333333</v>
      </c>
      <c r="R49" s="306">
        <f t="shared" ca="1" si="20"/>
        <v>0.51888233356160118</v>
      </c>
      <c r="S49" s="307">
        <f t="shared" ca="1" si="21"/>
        <v>14.05163775621573</v>
      </c>
      <c r="T49" s="304">
        <f t="shared" ca="1" si="1"/>
        <v>137.8465663884763</v>
      </c>
      <c r="U49" s="311">
        <f t="shared" ca="1" si="2"/>
        <v>0</v>
      </c>
      <c r="V49" s="306">
        <f t="shared" ca="1" si="3"/>
        <v>1.2242692997140201</v>
      </c>
      <c r="W49" s="304">
        <f t="shared" ca="1" si="4"/>
        <v>2.2292257577073498</v>
      </c>
      <c r="Y49" s="314" t="str">
        <f t="shared" ca="1" si="22"/>
        <v/>
      </c>
      <c r="Z49" s="315" t="str">
        <f t="shared" ca="1" si="23"/>
        <v/>
      </c>
      <c r="AA49" s="316" t="str">
        <f t="shared" ca="1" si="24"/>
        <v/>
      </c>
      <c r="AC49" s="310" t="e">
        <f t="shared" ca="1" si="25"/>
        <v>#N/A</v>
      </c>
      <c r="AD49" s="323" t="e">
        <f t="shared" ca="1" si="26"/>
        <v>#N/A</v>
      </c>
      <c r="AE49" s="324">
        <f t="shared" ca="1" si="5"/>
        <v>5.9666798262247145</v>
      </c>
      <c r="AG49" s="306">
        <f t="shared" ca="1" si="27"/>
        <v>63.911795498242384</v>
      </c>
      <c r="AH49" s="304">
        <f t="shared" ca="1" si="28"/>
        <v>73.564650195932586</v>
      </c>
    </row>
    <row r="50" spans="1:34" x14ac:dyDescent="0.25">
      <c r="A50" s="347">
        <f t="shared" ca="1" si="6"/>
        <v>0.01</v>
      </c>
      <c r="B50" s="304">
        <f t="shared" ca="1" si="7"/>
        <v>0.46000000000000024</v>
      </c>
      <c r="D50" s="306">
        <f t="shared" ca="1" si="8"/>
        <v>13.158745037400926</v>
      </c>
      <c r="E50" s="307">
        <f t="shared" ca="1" si="9"/>
        <v>62.564486388672393</v>
      </c>
      <c r="F50" s="304">
        <f t="shared" ca="1" si="10"/>
        <v>63.933305311376607</v>
      </c>
      <c r="G50" s="306">
        <f t="shared" ca="1" si="11"/>
        <v>5.1829134548158757</v>
      </c>
      <c r="H50" s="307">
        <f t="shared" ca="1" si="12"/>
        <v>28.40847097033695</v>
      </c>
      <c r="I50" s="304">
        <f t="shared" ca="1" si="13"/>
        <v>28.877392797006255</v>
      </c>
      <c r="J50" s="306">
        <f t="shared" ca="1" si="14"/>
        <v>1.109096067373802</v>
      </c>
      <c r="K50" s="307">
        <f t="shared" ca="1" si="15"/>
        <v>6.24763631160865</v>
      </c>
      <c r="L50" s="304">
        <f t="shared" ca="1" si="0"/>
        <v>6.3453174521685645</v>
      </c>
      <c r="M50" s="306">
        <f t="shared" ca="1" si="16"/>
        <v>1.3903385197538425</v>
      </c>
      <c r="N50" s="304">
        <f t="shared" ca="1" si="17"/>
        <v>79.660529276361416</v>
      </c>
      <c r="P50" s="310">
        <f t="shared" ca="1" si="18"/>
        <v>5</v>
      </c>
      <c r="Q50" s="304">
        <f t="shared" ca="1" si="19"/>
        <v>1035.5</v>
      </c>
      <c r="R50" s="306">
        <f t="shared" ca="1" si="20"/>
        <v>0.51871535614130793</v>
      </c>
      <c r="S50" s="307">
        <f t="shared" ca="1" si="21"/>
        <v>14.046450602654316</v>
      </c>
      <c r="T50" s="304">
        <f t="shared" ca="1" si="1"/>
        <v>137.79568041203885</v>
      </c>
      <c r="U50" s="311">
        <f t="shared" ca="1" si="2"/>
        <v>0</v>
      </c>
      <c r="V50" s="306">
        <f t="shared" ca="1" si="3"/>
        <v>1.224234903554045</v>
      </c>
      <c r="W50" s="304">
        <f t="shared" ca="1" si="4"/>
        <v>2.3312071183022911</v>
      </c>
      <c r="Y50" s="314" t="str">
        <f t="shared" ca="1" si="22"/>
        <v/>
      </c>
      <c r="Z50" s="315" t="str">
        <f t="shared" ca="1" si="23"/>
        <v/>
      </c>
      <c r="AA50" s="316" t="str">
        <f t="shared" ca="1" si="24"/>
        <v/>
      </c>
      <c r="AC50" s="310" t="e">
        <f t="shared" ca="1" si="25"/>
        <v>#N/A</v>
      </c>
      <c r="AD50" s="323" t="e">
        <f t="shared" ca="1" si="26"/>
        <v>#N/A</v>
      </c>
      <c r="AE50" s="324">
        <f t="shared" ca="1" si="5"/>
        <v>6.24763631160865</v>
      </c>
      <c r="AG50" s="306">
        <f t="shared" ca="1" si="27"/>
        <v>63.9092175451458</v>
      </c>
      <c r="AH50" s="304">
        <f t="shared" ca="1" si="28"/>
        <v>73.560987289346855</v>
      </c>
    </row>
    <row r="51" spans="1:34" x14ac:dyDescent="0.25">
      <c r="A51" s="347">
        <f t="shared" ca="1" si="6"/>
        <v>0.01</v>
      </c>
      <c r="B51" s="304">
        <f t="shared" ca="1" si="7"/>
        <v>0.47000000000000025</v>
      </c>
      <c r="D51" s="306">
        <f t="shared" ca="1" si="8"/>
        <v>13.202034915456732</v>
      </c>
      <c r="E51" s="307">
        <f t="shared" ca="1" si="9"/>
        <v>62.552702737518757</v>
      </c>
      <c r="F51" s="304">
        <f t="shared" ca="1" si="10"/>
        <v>63.930699555669854</v>
      </c>
      <c r="G51" s="306">
        <f t="shared" ca="1" si="11"/>
        <v>5.314933803970443</v>
      </c>
      <c r="H51" s="307">
        <f t="shared" ca="1" si="12"/>
        <v>29.033997997712138</v>
      </c>
      <c r="I51" s="304">
        <f t="shared" ca="1" si="13"/>
        <v>29.516462543328938</v>
      </c>
      <c r="J51" s="306">
        <f t="shared" ca="1" si="14"/>
        <v>1.1615853036677335</v>
      </c>
      <c r="K51" s="307">
        <f t="shared" ca="1" si="15"/>
        <v>6.5348486564488955</v>
      </c>
      <c r="L51" s="304">
        <f t="shared" ca="1" si="0"/>
        <v>6.6372831324562913</v>
      </c>
      <c r="M51" s="306">
        <f t="shared" ca="1" si="16"/>
        <v>1.3897420056693279</v>
      </c>
      <c r="N51" s="304">
        <f t="shared" ca="1" si="17"/>
        <v>79.626351536898611</v>
      </c>
      <c r="P51" s="310">
        <f t="shared" ca="1" si="18"/>
        <v>5</v>
      </c>
      <c r="Q51" s="304">
        <f t="shared" ca="1" si="19"/>
        <v>1035.1666666666667</v>
      </c>
      <c r="R51" s="306">
        <f t="shared" ca="1" si="20"/>
        <v>0.51854837872101456</v>
      </c>
      <c r="S51" s="307">
        <f t="shared" ca="1" si="21"/>
        <v>14.041265118867106</v>
      </c>
      <c r="T51" s="304">
        <f t="shared" ca="1" si="1"/>
        <v>137.7448108160863</v>
      </c>
      <c r="U51" s="311">
        <f t="shared" ca="1" si="2"/>
        <v>0</v>
      </c>
      <c r="V51" s="306">
        <f t="shared" ca="1" si="3"/>
        <v>1.2241997425176618</v>
      </c>
      <c r="W51" s="304">
        <f t="shared" ca="1" si="4"/>
        <v>2.4354602256569651</v>
      </c>
      <c r="Y51" s="314" t="str">
        <f t="shared" ca="1" si="22"/>
        <v/>
      </c>
      <c r="Z51" s="315" t="str">
        <f t="shared" ca="1" si="23"/>
        <v/>
      </c>
      <c r="AA51" s="316" t="str">
        <f t="shared" ca="1" si="24"/>
        <v/>
      </c>
      <c r="AC51" s="310" t="e">
        <f t="shared" ca="1" si="25"/>
        <v>#N/A</v>
      </c>
      <c r="AD51" s="323" t="e">
        <f t="shared" ca="1" si="26"/>
        <v>#N/A</v>
      </c>
      <c r="AE51" s="324">
        <f t="shared" ca="1" si="5"/>
        <v>6.5348486564488955</v>
      </c>
      <c r="AG51" s="306">
        <f t="shared" ca="1" si="27"/>
        <v>63.906449491538154</v>
      </c>
      <c r="AH51" s="304">
        <f t="shared" ca="1" si="28"/>
        <v>73.557151068998337</v>
      </c>
    </row>
    <row r="52" spans="1:34" x14ac:dyDescent="0.25">
      <c r="A52" s="347">
        <f t="shared" ca="1" si="6"/>
        <v>0.01</v>
      </c>
      <c r="B52" s="304">
        <f t="shared" ca="1" si="7"/>
        <v>0.48000000000000026</v>
      </c>
      <c r="D52" s="306">
        <f t="shared" ca="1" si="8"/>
        <v>13.244475929766185</v>
      </c>
      <c r="E52" s="307">
        <f t="shared" ca="1" si="9"/>
        <v>62.540870548625307</v>
      </c>
      <c r="F52" s="304">
        <f t="shared" ca="1" si="10"/>
        <v>63.92790182411796</v>
      </c>
      <c r="G52" s="306">
        <f t="shared" ca="1" si="11"/>
        <v>5.4473785632681047</v>
      </c>
      <c r="H52" s="307">
        <f t="shared" ca="1" si="12"/>
        <v>29.659406703198393</v>
      </c>
      <c r="I52" s="304">
        <f t="shared" ca="1" si="13"/>
        <v>30.155502635460792</v>
      </c>
      <c r="J52" s="306">
        <f t="shared" ca="1" si="14"/>
        <v>1.2153968655039262</v>
      </c>
      <c r="K52" s="307">
        <f t="shared" ca="1" si="15"/>
        <v>6.8283156799534481</v>
      </c>
      <c r="L52" s="304">
        <f t="shared" ca="1" si="0"/>
        <v>6.9356387280318232</v>
      </c>
      <c r="M52" s="306">
        <f t="shared" ca="1" si="16"/>
        <v>1.3891562236822075</v>
      </c>
      <c r="N52" s="304">
        <f t="shared" ca="1" si="17"/>
        <v>79.592788701321822</v>
      </c>
      <c r="P52" s="310">
        <f t="shared" ca="1" si="18"/>
        <v>5</v>
      </c>
      <c r="Q52" s="304">
        <f t="shared" ca="1" si="19"/>
        <v>1034.8333333333333</v>
      </c>
      <c r="R52" s="306">
        <f t="shared" ca="1" si="20"/>
        <v>0.51838140130072119</v>
      </c>
      <c r="S52" s="307">
        <f t="shared" ca="1" si="21"/>
        <v>14.036081304854099</v>
      </c>
      <c r="T52" s="304">
        <f t="shared" ca="1" si="1"/>
        <v>137.69395760061872</v>
      </c>
      <c r="U52" s="311">
        <f t="shared" ca="1" si="2"/>
        <v>0</v>
      </c>
      <c r="V52" s="306">
        <f t="shared" ca="1" si="3"/>
        <v>1.2241638168153435</v>
      </c>
      <c r="W52" s="304">
        <f t="shared" ca="1" si="4"/>
        <v>2.5419840715739439</v>
      </c>
      <c r="Y52" s="314" t="str">
        <f t="shared" ca="1" si="22"/>
        <v/>
      </c>
      <c r="Z52" s="315" t="str">
        <f t="shared" ca="1" si="23"/>
        <v/>
      </c>
      <c r="AA52" s="316" t="str">
        <f t="shared" ca="1" si="24"/>
        <v/>
      </c>
      <c r="AC52" s="310" t="e">
        <f t="shared" ca="1" si="25"/>
        <v>#N/A</v>
      </c>
      <c r="AD52" s="323" t="e">
        <f t="shared" ca="1" si="26"/>
        <v>#N/A</v>
      </c>
      <c r="AE52" s="324">
        <f t="shared" ca="1" si="5"/>
        <v>6.8283156799534481</v>
      </c>
      <c r="AG52" s="306">
        <f t="shared" ca="1" si="27"/>
        <v>63.90349183443233</v>
      </c>
      <c r="AH52" s="304">
        <f t="shared" ca="1" si="28"/>
        <v>73.553141413525594</v>
      </c>
    </row>
    <row r="53" spans="1:34" x14ac:dyDescent="0.25">
      <c r="A53" s="347">
        <f t="shared" ca="1" si="6"/>
        <v>0.01</v>
      </c>
      <c r="B53" s="304">
        <f t="shared" ca="1" si="7"/>
        <v>0.49000000000000027</v>
      </c>
      <c r="D53" s="306">
        <f t="shared" ca="1" si="8"/>
        <v>13.286099824446488</v>
      </c>
      <c r="E53" s="307">
        <f t="shared" ca="1" si="9"/>
        <v>62.528985369898663</v>
      </c>
      <c r="F53" s="304">
        <f t="shared" ca="1" si="10"/>
        <v>63.9249126705243</v>
      </c>
      <c r="G53" s="306">
        <f t="shared" ca="1" si="11"/>
        <v>5.5802395615125695</v>
      </c>
      <c r="H53" s="307">
        <f t="shared" ca="1" si="12"/>
        <v>30.28469655689738</v>
      </c>
      <c r="I53" s="304">
        <f t="shared" ca="1" si="13"/>
        <v>30.794511184742355</v>
      </c>
      <c r="J53" s="306">
        <f t="shared" ca="1" si="14"/>
        <v>1.2705349561278296</v>
      </c>
      <c r="K53" s="307">
        <f t="shared" ca="1" si="15"/>
        <v>7.1280361962539267</v>
      </c>
      <c r="L53" s="304">
        <f t="shared" ca="1" si="0"/>
        <v>7.2403839048664329</v>
      </c>
      <c r="M53" s="306">
        <f t="shared" ca="1" si="16"/>
        <v>1.3885807616138848</v>
      </c>
      <c r="N53" s="304">
        <f t="shared" ca="1" si="17"/>
        <v>79.559817153537068</v>
      </c>
      <c r="P53" s="310">
        <f t="shared" ca="1" si="18"/>
        <v>5</v>
      </c>
      <c r="Q53" s="304">
        <f t="shared" ca="1" si="19"/>
        <v>1034.5</v>
      </c>
      <c r="R53" s="306">
        <f t="shared" ca="1" si="20"/>
        <v>0.51821442388042782</v>
      </c>
      <c r="S53" s="307">
        <f t="shared" ca="1" si="21"/>
        <v>14.030899160615295</v>
      </c>
      <c r="T53" s="304">
        <f t="shared" ca="1" si="1"/>
        <v>137.64312076563604</v>
      </c>
      <c r="U53" s="311">
        <f t="shared" ca="1" si="2"/>
        <v>0</v>
      </c>
      <c r="V53" s="306">
        <f t="shared" ca="1" si="3"/>
        <v>1.2241271266595974</v>
      </c>
      <c r="W53" s="304">
        <f t="shared" ca="1" si="4"/>
        <v>2.6507776131970386</v>
      </c>
      <c r="Y53" s="314" t="str">
        <f t="shared" ca="1" si="22"/>
        <v/>
      </c>
      <c r="Z53" s="315" t="str">
        <f t="shared" ca="1" si="23"/>
        <v/>
      </c>
      <c r="AA53" s="316" t="str">
        <f t="shared" ca="1" si="24"/>
        <v/>
      </c>
      <c r="AC53" s="310" t="e">
        <f t="shared" ca="1" si="25"/>
        <v>#N/A</v>
      </c>
      <c r="AD53" s="323" t="e">
        <f t="shared" ca="1" si="26"/>
        <v>#N/A</v>
      </c>
      <c r="AE53" s="324">
        <f t="shared" ca="1" si="5"/>
        <v>7.1280361962539267</v>
      </c>
      <c r="AG53" s="306">
        <f t="shared" ca="1" si="27"/>
        <v>63.90034503790163</v>
      </c>
      <c r="AH53" s="304">
        <f t="shared" ca="1" si="28"/>
        <v>73.548958203985251</v>
      </c>
    </row>
    <row r="54" spans="1:34" x14ac:dyDescent="0.25">
      <c r="A54" s="347">
        <f t="shared" ca="1" si="6"/>
        <v>0.01</v>
      </c>
      <c r="B54" s="304">
        <f t="shared" ca="1" si="7"/>
        <v>0.50000000000000022</v>
      </c>
      <c r="D54" s="306">
        <f t="shared" ca="1" si="8"/>
        <v>13.326936458935338</v>
      </c>
      <c r="E54" s="307">
        <f t="shared" ca="1" si="9"/>
        <v>62.517042995714931</v>
      </c>
      <c r="F54" s="304">
        <f t="shared" ca="1" si="10"/>
        <v>63.921732613474809</v>
      </c>
      <c r="G54" s="306">
        <f t="shared" ca="1" si="11"/>
        <v>5.7135089261019232</v>
      </c>
      <c r="H54" s="307">
        <f t="shared" ca="1" si="12"/>
        <v>30.909866986854528</v>
      </c>
      <c r="I54" s="304">
        <f t="shared" ca="1" si="13"/>
        <v>31.43348630670301</v>
      </c>
      <c r="J54" s="306">
        <f t="shared" ca="1" si="14"/>
        <v>1.3270036985659022</v>
      </c>
      <c r="K54" s="307">
        <f t="shared" ca="1" si="15"/>
        <v>7.4340090139726867</v>
      </c>
      <c r="L54" s="304">
        <f t="shared" ca="1" si="0"/>
        <v>7.5515183132820871</v>
      </c>
      <c r="M54" s="306">
        <f t="shared" ca="1" si="16"/>
        <v>1.3880152311452947</v>
      </c>
      <c r="N54" s="304">
        <f t="shared" ca="1" si="17"/>
        <v>79.527414644500794</v>
      </c>
      <c r="P54" s="310">
        <f t="shared" ca="1" si="18"/>
        <v>5</v>
      </c>
      <c r="Q54" s="304">
        <f t="shared" ca="1" si="19"/>
        <v>1034.1666666666667</v>
      </c>
      <c r="R54" s="306">
        <f t="shared" ca="1" si="20"/>
        <v>0.51804744646013456</v>
      </c>
      <c r="S54" s="307">
        <f t="shared" ca="1" si="21"/>
        <v>14.025718686150693</v>
      </c>
      <c r="T54" s="304">
        <f t="shared" ca="1" si="1"/>
        <v>137.5923003111383</v>
      </c>
      <c r="U54" s="311">
        <f t="shared" ca="1" si="2"/>
        <v>0</v>
      </c>
      <c r="V54" s="306">
        <f t="shared" ca="1" si="3"/>
        <v>1.2240896722650176</v>
      </c>
      <c r="W54" s="304">
        <f t="shared" ca="1" si="4"/>
        <v>2.7618397730563893</v>
      </c>
      <c r="Y54" s="314" t="str">
        <f t="shared" ca="1" si="22"/>
        <v/>
      </c>
      <c r="Z54" s="315" t="str">
        <f t="shared" ca="1" si="23"/>
        <v/>
      </c>
      <c r="AA54" s="316" t="str">
        <f t="shared" ca="1" si="24"/>
        <v/>
      </c>
      <c r="AC54" s="310" t="e">
        <f t="shared" ca="1" si="25"/>
        <v>#N/A</v>
      </c>
      <c r="AD54" s="323" t="e">
        <f t="shared" ca="1" si="26"/>
        <v>#N/A</v>
      </c>
      <c r="AE54" s="324">
        <f t="shared" ca="1" si="5"/>
        <v>7.4340090139726867</v>
      </c>
      <c r="AG54" s="306">
        <f t="shared" ca="1" si="27"/>
        <v>63.897009535795675</v>
      </c>
      <c r="AH54" s="304">
        <f t="shared" ca="1" si="28"/>
        <v>73.544601323853115</v>
      </c>
    </row>
    <row r="55" spans="1:34" x14ac:dyDescent="0.25">
      <c r="A55" s="347">
        <f t="shared" ca="1" si="6"/>
        <v>0.01</v>
      </c>
      <c r="B55" s="304">
        <f t="shared" ca="1" si="7"/>
        <v>0.51000000000000023</v>
      </c>
      <c r="D55" s="306">
        <f t="shared" ca="1" si="8"/>
        <v>13.367013955652441</v>
      </c>
      <c r="E55" s="307">
        <f t="shared" ca="1" si="9"/>
        <v>62.505039448539847</v>
      </c>
      <c r="F55" s="304">
        <f t="shared" ca="1" si="10"/>
        <v>63.918362139170384</v>
      </c>
      <c r="G55" s="306">
        <f t="shared" ca="1" si="11"/>
        <v>5.8471790656584473</v>
      </c>
      <c r="H55" s="307">
        <f t="shared" ca="1" si="12"/>
        <v>31.534917381339927</v>
      </c>
      <c r="I55" s="304">
        <f t="shared" ca="1" si="13"/>
        <v>32.072426120794319</v>
      </c>
      <c r="J55" s="306">
        <f t="shared" ca="1" si="14"/>
        <v>1.3848071385247041</v>
      </c>
      <c r="K55" s="307">
        <f t="shared" ca="1" si="15"/>
        <v>7.7462329358136586</v>
      </c>
      <c r="L55" s="304">
        <f t="shared" ca="1" si="0"/>
        <v>7.8690415875628252</v>
      </c>
      <c r="M55" s="306">
        <f t="shared" ca="1" si="16"/>
        <v>1.3874592659878799</v>
      </c>
      <c r="N55" s="304">
        <f t="shared" ca="1" si="17"/>
        <v>79.495560187424616</v>
      </c>
      <c r="P55" s="310">
        <f t="shared" ca="1" si="18"/>
        <v>5</v>
      </c>
      <c r="Q55" s="304">
        <f t="shared" ca="1" si="19"/>
        <v>1033.8333333333333</v>
      </c>
      <c r="R55" s="306">
        <f t="shared" ca="1" si="20"/>
        <v>0.51788046903984108</v>
      </c>
      <c r="S55" s="307">
        <f t="shared" ca="1" si="21"/>
        <v>14.020539881460294</v>
      </c>
      <c r="T55" s="304">
        <f t="shared" ca="1" si="1"/>
        <v>137.5414962371255</v>
      </c>
      <c r="U55" s="311">
        <f t="shared" ca="1" si="2"/>
        <v>0</v>
      </c>
      <c r="V55" s="306">
        <f t="shared" ca="1" si="3"/>
        <v>1.2240514538483351</v>
      </c>
      <c r="W55" s="304">
        <f t="shared" ca="1" si="4"/>
        <v>2.8751694391120437</v>
      </c>
      <c r="Y55" s="314" t="str">
        <f t="shared" ca="1" si="22"/>
        <v/>
      </c>
      <c r="Z55" s="315" t="str">
        <f t="shared" ca="1" si="23"/>
        <v/>
      </c>
      <c r="AA55" s="316" t="str">
        <f t="shared" ca="1" si="24"/>
        <v/>
      </c>
      <c r="AC55" s="310" t="e">
        <f t="shared" ca="1" si="25"/>
        <v>#N/A</v>
      </c>
      <c r="AD55" s="323" t="e">
        <f t="shared" ca="1" si="26"/>
        <v>#N/A</v>
      </c>
      <c r="AE55" s="324">
        <f t="shared" ca="1" si="5"/>
        <v>7.7462329358136586</v>
      </c>
      <c r="AG55" s="306">
        <f t="shared" ca="1" si="27"/>
        <v>63.893485734197178</v>
      </c>
      <c r="AH55" s="304">
        <f t="shared" ca="1" si="28"/>
        <v>73.540070659025631</v>
      </c>
    </row>
    <row r="56" spans="1:34" x14ac:dyDescent="0.25">
      <c r="A56" s="347">
        <f t="shared" ca="1" si="6"/>
        <v>0.01</v>
      </c>
      <c r="B56" s="304">
        <f t="shared" ca="1" si="7"/>
        <v>0.52000000000000024</v>
      </c>
      <c r="D56" s="306">
        <f t="shared" ca="1" si="8"/>
        <v>13.406358833388506</v>
      </c>
      <c r="E56" s="307">
        <f t="shared" ca="1" si="9"/>
        <v>62.492970962271301</v>
      </c>
      <c r="F56" s="304">
        <f t="shared" ca="1" si="10"/>
        <v>63.914801703993874</v>
      </c>
      <c r="G56" s="306">
        <f t="shared" ca="1" si="11"/>
        <v>5.9812426539923322</v>
      </c>
      <c r="H56" s="307">
        <f t="shared" ca="1" si="12"/>
        <v>32.159847090962643</v>
      </c>
      <c r="I56" s="304">
        <f t="shared" ca="1" si="13"/>
        <v>32.711328750144581</v>
      </c>
      <c r="J56" s="306">
        <f t="shared" ca="1" si="14"/>
        <v>1.443949247122958</v>
      </c>
      <c r="K56" s="307">
        <f t="shared" ca="1" si="15"/>
        <v>8.0647067581751717</v>
      </c>
      <c r="L56" s="304">
        <f t="shared" ca="1" si="0"/>
        <v>8.1929533456271582</v>
      </c>
      <c r="M56" s="306">
        <f t="shared" ca="1" si="16"/>
        <v>1.3869125202277641</v>
      </c>
      <c r="N56" s="304">
        <f t="shared" ca="1" si="17"/>
        <v>79.464233962903307</v>
      </c>
      <c r="P56" s="310">
        <f t="shared" ca="1" si="18"/>
        <v>5</v>
      </c>
      <c r="Q56" s="304">
        <f t="shared" ca="1" si="19"/>
        <v>1033.5</v>
      </c>
      <c r="R56" s="306">
        <f t="shared" ca="1" si="20"/>
        <v>0.51771349161954783</v>
      </c>
      <c r="S56" s="307">
        <f t="shared" ca="1" si="21"/>
        <v>14.015362746544099</v>
      </c>
      <c r="T56" s="304">
        <f t="shared" ca="1" si="1"/>
        <v>137.49070854359761</v>
      </c>
      <c r="U56" s="311">
        <f t="shared" ca="1" si="2"/>
        <v>0</v>
      </c>
      <c r="V56" s="306">
        <f t="shared" ca="1" si="3"/>
        <v>1.2240124716284604</v>
      </c>
      <c r="W56" s="304">
        <f t="shared" ca="1" si="4"/>
        <v>2.990765464796187</v>
      </c>
      <c r="Y56" s="314" t="str">
        <f t="shared" ca="1" si="22"/>
        <v/>
      </c>
      <c r="Z56" s="315" t="str">
        <f t="shared" ca="1" si="23"/>
        <v/>
      </c>
      <c r="AA56" s="316" t="str">
        <f t="shared" ca="1" si="24"/>
        <v/>
      </c>
      <c r="AC56" s="310" t="e">
        <f t="shared" ca="1" si="25"/>
        <v>#N/A</v>
      </c>
      <c r="AD56" s="323" t="e">
        <f t="shared" ca="1" si="26"/>
        <v>#N/A</v>
      </c>
      <c r="AE56" s="324">
        <f t="shared" ca="1" si="5"/>
        <v>8.0647067581751717</v>
      </c>
      <c r="AG56" s="306">
        <f t="shared" ca="1" si="27"/>
        <v>63.889774013648776</v>
      </c>
      <c r="AH56" s="304">
        <f t="shared" ca="1" si="28"/>
        <v>73.535366097821395</v>
      </c>
    </row>
    <row r="57" spans="1:34" x14ac:dyDescent="0.25">
      <c r="A57" s="347">
        <f t="shared" ca="1" si="6"/>
        <v>0.01</v>
      </c>
      <c r="B57" s="304">
        <f t="shared" ca="1" si="7"/>
        <v>0.53000000000000025</v>
      </c>
      <c r="D57" s="306">
        <f t="shared" ca="1" si="8"/>
        <v>13.444996128053072</v>
      </c>
      <c r="E57" s="307">
        <f t="shared" ca="1" si="9"/>
        <v>62.48083396711263</v>
      </c>
      <c r="F57" s="304">
        <f t="shared" ca="1" si="10"/>
        <v>63.911051736841706</v>
      </c>
      <c r="G57" s="306">
        <f t="shared" ca="1" si="11"/>
        <v>6.115692615272863</v>
      </c>
      <c r="H57" s="307">
        <f t="shared" ca="1" si="12"/>
        <v>32.784655430633769</v>
      </c>
      <c r="I57" s="304">
        <f t="shared" ca="1" si="13"/>
        <v>33.350192321332827</v>
      </c>
      <c r="J57" s="306">
        <f t="shared" ca="1" si="14"/>
        <v>1.5044339234692841</v>
      </c>
      <c r="K57" s="307">
        <f t="shared" ca="1" si="15"/>
        <v>8.3894292707831539</v>
      </c>
      <c r="L57" s="304">
        <f t="shared" ca="1" si="0"/>
        <v>8.5232531887512497</v>
      </c>
      <c r="M57" s="306">
        <f t="shared" ca="1" si="16"/>
        <v>1.3863746668237165</v>
      </c>
      <c r="N57" s="304">
        <f t="shared" ca="1" si="17"/>
        <v>79.433417232854623</v>
      </c>
      <c r="P57" s="310">
        <f t="shared" ca="1" si="18"/>
        <v>5</v>
      </c>
      <c r="Q57" s="304">
        <f t="shared" ca="1" si="19"/>
        <v>1033.1666666666667</v>
      </c>
      <c r="R57" s="306">
        <f t="shared" ca="1" si="20"/>
        <v>0.51754651419925446</v>
      </c>
      <c r="S57" s="307">
        <f t="shared" ca="1" si="21"/>
        <v>14.010187281402107</v>
      </c>
      <c r="T57" s="304">
        <f t="shared" ca="1" si="1"/>
        <v>137.43993723055468</v>
      </c>
      <c r="U57" s="311">
        <f t="shared" ca="1" si="2"/>
        <v>0</v>
      </c>
      <c r="V57" s="306">
        <f t="shared" ca="1" si="3"/>
        <v>1.2239727258265301</v>
      </c>
      <c r="W57" s="304">
        <f t="shared" ca="1" si="4"/>
        <v>3.108626669054265</v>
      </c>
      <c r="Y57" s="314" t="str">
        <f t="shared" ca="1" si="22"/>
        <v/>
      </c>
      <c r="Z57" s="315" t="str">
        <f t="shared" ca="1" si="23"/>
        <v/>
      </c>
      <c r="AA57" s="316" t="str">
        <f t="shared" ca="1" si="24"/>
        <v/>
      </c>
      <c r="AC57" s="310" t="e">
        <f t="shared" ca="1" si="25"/>
        <v>#N/A</v>
      </c>
      <c r="AD57" s="323" t="e">
        <f t="shared" ca="1" si="26"/>
        <v>#N/A</v>
      </c>
      <c r="AE57" s="324">
        <f t="shared" ca="1" si="5"/>
        <v>8.3894292707831539</v>
      </c>
      <c r="AG57" s="306">
        <f t="shared" ca="1" si="27"/>
        <v>63.885874731175605</v>
      </c>
      <c r="AH57" s="304">
        <f t="shared" ca="1" si="28"/>
        <v>73.530487530982739</v>
      </c>
    </row>
    <row r="58" spans="1:34" x14ac:dyDescent="0.25">
      <c r="A58" s="347">
        <f t="shared" ca="1" si="6"/>
        <v>0.01</v>
      </c>
      <c r="B58" s="304">
        <f t="shared" ca="1" si="7"/>
        <v>0.54000000000000026</v>
      </c>
      <c r="D58" s="306">
        <f t="shared" ca="1" si="8"/>
        <v>13.482949502198219</v>
      </c>
      <c r="E58" s="307">
        <f t="shared" ca="1" si="9"/>
        <v>62.468625075809399</v>
      </c>
      <c r="F58" s="304">
        <f t="shared" ca="1" si="10"/>
        <v>63.907112641245732</v>
      </c>
      <c r="G58" s="306">
        <f t="shared" ca="1" si="11"/>
        <v>6.2505221102948454</v>
      </c>
      <c r="H58" s="307">
        <f t="shared" ca="1" si="12"/>
        <v>33.409341681391865</v>
      </c>
      <c r="I58" s="304">
        <f t="shared" ca="1" si="13"/>
        <v>33.989014964180299</v>
      </c>
      <c r="J58" s="306">
        <f t="shared" ca="1" si="14"/>
        <v>1.5662649970971225</v>
      </c>
      <c r="K58" s="307">
        <f t="shared" ca="1" si="15"/>
        <v>8.7203992563432813</v>
      </c>
      <c r="L58" s="304">
        <f t="shared" ca="1" si="0"/>
        <v>8.8599407013345228</v>
      </c>
      <c r="M58" s="306">
        <f t="shared" ca="1" si="16"/>
        <v>1.3858453962420043</v>
      </c>
      <c r="N58" s="304">
        <f t="shared" ca="1" si="17"/>
        <v>79.403092262302081</v>
      </c>
      <c r="P58" s="310">
        <f t="shared" ca="1" si="18"/>
        <v>5</v>
      </c>
      <c r="Q58" s="304">
        <f t="shared" ca="1" si="19"/>
        <v>1032.8333333333333</v>
      </c>
      <c r="R58" s="306">
        <f t="shared" ca="1" si="20"/>
        <v>0.51737953677896098</v>
      </c>
      <c r="S58" s="307">
        <f t="shared" ca="1" si="21"/>
        <v>14.005013486034317</v>
      </c>
      <c r="T58" s="304">
        <f t="shared" ca="1" si="1"/>
        <v>137.38918229799665</v>
      </c>
      <c r="U58" s="311">
        <f t="shared" ca="1" si="2"/>
        <v>0</v>
      </c>
      <c r="V58" s="306">
        <f t="shared" ca="1" si="3"/>
        <v>1.2239322166659474</v>
      </c>
      <c r="W58" s="304">
        <f t="shared" ca="1" si="4"/>
        <v>3.22875183638507</v>
      </c>
      <c r="Y58" s="314" t="str">
        <f t="shared" ca="1" si="22"/>
        <v/>
      </c>
      <c r="Z58" s="315" t="str">
        <f t="shared" ca="1" si="23"/>
        <v/>
      </c>
      <c r="AA58" s="316" t="str">
        <f t="shared" ca="1" si="24"/>
        <v/>
      </c>
      <c r="AC58" s="310" t="e">
        <f t="shared" ca="1" si="25"/>
        <v>#N/A</v>
      </c>
      <c r="AD58" s="323" t="e">
        <f t="shared" ca="1" si="26"/>
        <v>#N/A</v>
      </c>
      <c r="AE58" s="324">
        <f t="shared" ca="1" si="5"/>
        <v>8.7203992563432813</v>
      </c>
      <c r="AG58" s="306">
        <f t="shared" ca="1" si="27"/>
        <v>63.881788222125813</v>
      </c>
      <c r="AH58" s="304">
        <f t="shared" ca="1" si="28"/>
        <v>73.52543485167736</v>
      </c>
    </row>
    <row r="59" spans="1:34" x14ac:dyDescent="0.25">
      <c r="A59" s="347">
        <f t="shared" ca="1" si="6"/>
        <v>0.01</v>
      </c>
      <c r="B59" s="304">
        <f t="shared" ca="1" si="7"/>
        <v>0.55000000000000027</v>
      </c>
      <c r="D59" s="306">
        <f t="shared" ca="1" si="8"/>
        <v>13.520241344552632</v>
      </c>
      <c r="E59" s="307">
        <f t="shared" ca="1" si="9"/>
        <v>62.456341071103353</v>
      </c>
      <c r="F59" s="304">
        <f t="shared" ca="1" si="10"/>
        <v>63.902984797307717</v>
      </c>
      <c r="G59" s="306">
        <f t="shared" ca="1" si="11"/>
        <v>6.3857245237403717</v>
      </c>
      <c r="H59" s="307">
        <f t="shared" ca="1" si="12"/>
        <v>34.033905092102898</v>
      </c>
      <c r="I59" s="304">
        <f t="shared" ca="1" si="13"/>
        <v>34.627794811558054</v>
      </c>
      <c r="J59" s="306">
        <f t="shared" ca="1" si="14"/>
        <v>1.6294462302672985</v>
      </c>
      <c r="K59" s="307">
        <f t="shared" ca="1" si="15"/>
        <v>9.0576154902107557</v>
      </c>
      <c r="L59" s="304">
        <f t="shared" ca="1" si="0"/>
        <v>9.2030154507008266</v>
      </c>
      <c r="M59" s="306">
        <f t="shared" ca="1" si="16"/>
        <v>1.3853244152133575</v>
      </c>
      <c r="N59" s="304">
        <f t="shared" ca="1" si="17"/>
        <v>79.373242248154241</v>
      </c>
      <c r="P59" s="310">
        <f t="shared" ca="1" si="18"/>
        <v>5</v>
      </c>
      <c r="Q59" s="304">
        <f t="shared" ca="1" si="19"/>
        <v>1032.5</v>
      </c>
      <c r="R59" s="306">
        <f t="shared" ca="1" si="20"/>
        <v>0.51721255935866772</v>
      </c>
      <c r="S59" s="307">
        <f t="shared" ca="1" si="21"/>
        <v>13.99984136044073</v>
      </c>
      <c r="T59" s="304">
        <f t="shared" ca="1" si="1"/>
        <v>137.33844374592357</v>
      </c>
      <c r="U59" s="311">
        <f t="shared" ca="1" si="2"/>
        <v>0</v>
      </c>
      <c r="V59" s="306">
        <f t="shared" ca="1" si="3"/>
        <v>1.2238909443724209</v>
      </c>
      <c r="W59" s="304">
        <f t="shared" ca="1" si="4"/>
        <v>3.3511397168799881</v>
      </c>
      <c r="Y59" s="314" t="str">
        <f t="shared" ca="1" si="22"/>
        <v/>
      </c>
      <c r="Z59" s="315" t="str">
        <f t="shared" ca="1" si="23"/>
        <v/>
      </c>
      <c r="AA59" s="316" t="str">
        <f t="shared" ca="1" si="24"/>
        <v/>
      </c>
      <c r="AC59" s="310" t="e">
        <f t="shared" ca="1" si="25"/>
        <v>#N/A</v>
      </c>
      <c r="AD59" s="323" t="e">
        <f t="shared" ca="1" si="26"/>
        <v>#N/A</v>
      </c>
      <c r="AE59" s="324">
        <f t="shared" ca="1" si="5"/>
        <v>9.0576154902107557</v>
      </c>
      <c r="AG59" s="306">
        <f t="shared" ca="1" si="27"/>
        <v>63.877514801848832</v>
      </c>
      <c r="AH59" s="304">
        <f t="shared" ca="1" si="28"/>
        <v>73.520207955500169</v>
      </c>
    </row>
    <row r="60" spans="1:34" x14ac:dyDescent="0.25">
      <c r="A60" s="347">
        <f t="shared" ca="1" si="6"/>
        <v>0.01</v>
      </c>
      <c r="B60" s="304">
        <f t="shared" ca="1" si="7"/>
        <v>0.56000000000000028</v>
      </c>
      <c r="D60" s="306">
        <f t="shared" ca="1" si="8"/>
        <v>13.556892860644819</v>
      </c>
      <c r="E60" s="307">
        <f t="shared" ca="1" si="9"/>
        <v>62.443978894275347</v>
      </c>
      <c r="F60" s="304">
        <f t="shared" ca="1" si="10"/>
        <v>63.898668563466231</v>
      </c>
      <c r="G60" s="306">
        <f t="shared" ca="1" si="11"/>
        <v>6.5212934523468196</v>
      </c>
      <c r="H60" s="307">
        <f t="shared" ca="1" si="12"/>
        <v>34.65834488104565</v>
      </c>
      <c r="I60" s="304">
        <f t="shared" ca="1" si="13"/>
        <v>35.266529999209233</v>
      </c>
      <c r="J60" s="306">
        <f t="shared" ca="1" si="14"/>
        <v>1.6939813201477345</v>
      </c>
      <c r="K60" s="307">
        <f t="shared" ca="1" si="15"/>
        <v>9.4010767400764976</v>
      </c>
      <c r="L60" s="304">
        <f t="shared" ca="1" si="0"/>
        <v>9.5524769869294524</v>
      </c>
      <c r="M60" s="306">
        <f t="shared" ca="1" si="16"/>
        <v>1.3848114455991132</v>
      </c>
      <c r="N60" s="304">
        <f t="shared" ca="1" si="17"/>
        <v>79.343851254239581</v>
      </c>
      <c r="P60" s="310">
        <f t="shared" ca="1" si="18"/>
        <v>5</v>
      </c>
      <c r="Q60" s="304">
        <f t="shared" ca="1" si="19"/>
        <v>1032.1666666666667</v>
      </c>
      <c r="R60" s="306">
        <f t="shared" ca="1" si="20"/>
        <v>0.51704558193837435</v>
      </c>
      <c r="S60" s="307">
        <f t="shared" ca="1" si="21"/>
        <v>13.994670904621346</v>
      </c>
      <c r="T60" s="304">
        <f t="shared" ca="1" si="1"/>
        <v>137.28772157433542</v>
      </c>
      <c r="U60" s="311">
        <f t="shared" ca="1" si="2"/>
        <v>0</v>
      </c>
      <c r="V60" s="306">
        <f t="shared" ca="1" si="3"/>
        <v>1.2238489091740004</v>
      </c>
      <c r="W60" s="304">
        <f t="shared" ca="1" si="4"/>
        <v>3.4757890262615145</v>
      </c>
      <c r="Y60" s="314" t="str">
        <f t="shared" ca="1" si="22"/>
        <v/>
      </c>
      <c r="Z60" s="315" t="str">
        <f t="shared" ca="1" si="23"/>
        <v/>
      </c>
      <c r="AA60" s="316" t="str">
        <f t="shared" ca="1" si="24"/>
        <v/>
      </c>
      <c r="AC60" s="310" t="e">
        <f t="shared" ca="1" si="25"/>
        <v>#N/A</v>
      </c>
      <c r="AD60" s="323" t="e">
        <f t="shared" ca="1" si="26"/>
        <v>#N/A</v>
      </c>
      <c r="AE60" s="324">
        <f t="shared" ca="1" si="5"/>
        <v>9.4010767400764976</v>
      </c>
      <c r="AG60" s="306">
        <f t="shared" ca="1" si="27"/>
        <v>63.873054767228084</v>
      </c>
      <c r="AH60" s="304">
        <f t="shared" ca="1" si="28"/>
        <v>73.514806740475009</v>
      </c>
    </row>
    <row r="61" spans="1:34" x14ac:dyDescent="0.25">
      <c r="A61" s="347">
        <f t="shared" ca="1" si="6"/>
        <v>0.01</v>
      </c>
      <c r="B61" s="304">
        <f t="shared" ca="1" si="7"/>
        <v>0.57000000000000028</v>
      </c>
      <c r="D61" s="306">
        <f t="shared" ca="1" si="8"/>
        <v>13.592924155459739</v>
      </c>
      <c r="E61" s="307">
        <f t="shared" ca="1" si="9"/>
        <v>62.431535634664911</v>
      </c>
      <c r="F61" s="304">
        <f t="shared" ca="1" si="10"/>
        <v>63.894164278113188</v>
      </c>
      <c r="G61" s="306">
        <f t="shared" ca="1" si="11"/>
        <v>6.6572226939014172</v>
      </c>
      <c r="H61" s="307">
        <f t="shared" ca="1" si="12"/>
        <v>35.2826602373923</v>
      </c>
      <c r="I61" s="304">
        <f t="shared" ca="1" si="13"/>
        <v>35.905218665584805</v>
      </c>
      <c r="J61" s="306">
        <f t="shared" ca="1" si="14"/>
        <v>1.7598739008789757</v>
      </c>
      <c r="K61" s="307">
        <f t="shared" ca="1" si="15"/>
        <v>9.7507817656686875</v>
      </c>
      <c r="L61" s="304">
        <f t="shared" ca="1" si="0"/>
        <v>9.9083248427114032</v>
      </c>
      <c r="M61" s="306">
        <f t="shared" ca="1" si="16"/>
        <v>1.3843062233551753</v>
      </c>
      <c r="N61" s="304">
        <f t="shared" ca="1" si="17"/>
        <v>79.314904151945811</v>
      </c>
      <c r="P61" s="310">
        <f t="shared" ca="1" si="18"/>
        <v>5</v>
      </c>
      <c r="Q61" s="304">
        <f t="shared" ca="1" si="19"/>
        <v>1031.8333333333333</v>
      </c>
      <c r="R61" s="306">
        <f t="shared" ca="1" si="20"/>
        <v>0.51687860451808099</v>
      </c>
      <c r="S61" s="307">
        <f t="shared" ca="1" si="21"/>
        <v>13.989502118576166</v>
      </c>
      <c r="T61" s="304">
        <f t="shared" ca="1" si="1"/>
        <v>137.23701578323218</v>
      </c>
      <c r="U61" s="311">
        <f t="shared" ca="1" si="2"/>
        <v>0</v>
      </c>
      <c r="V61" s="306">
        <f t="shared" ca="1" si="3"/>
        <v>1.2238061113011134</v>
      </c>
      <c r="W61" s="304">
        <f t="shared" ca="1" si="4"/>
        <v>3.6026984459211757</v>
      </c>
      <c r="Y61" s="314" t="str">
        <f t="shared" ca="1" si="22"/>
        <v/>
      </c>
      <c r="Z61" s="315" t="str">
        <f t="shared" ca="1" si="23"/>
        <v/>
      </c>
      <c r="AA61" s="316" t="str">
        <f t="shared" ca="1" si="24"/>
        <v/>
      </c>
      <c r="AC61" s="310" t="e">
        <f t="shared" ca="1" si="25"/>
        <v>#N/A</v>
      </c>
      <c r="AD61" s="323" t="e">
        <f t="shared" ca="1" si="26"/>
        <v>#N/A</v>
      </c>
      <c r="AE61" s="324">
        <f t="shared" ca="1" si="5"/>
        <v>9.7507817656686875</v>
      </c>
      <c r="AG61" s="306">
        <f t="shared" ca="1" si="27"/>
        <v>63.868408398083382</v>
      </c>
      <c r="AH61" s="304">
        <f t="shared" ca="1" si="28"/>
        <v>73.509231107056493</v>
      </c>
    </row>
    <row r="62" spans="1:34" x14ac:dyDescent="0.25">
      <c r="A62" s="347">
        <f t="shared" ca="1" si="6"/>
        <v>0.01</v>
      </c>
      <c r="B62" s="304">
        <f t="shared" ca="1" si="7"/>
        <v>0.58000000000000029</v>
      </c>
      <c r="D62" s="306">
        <f t="shared" ca="1" si="8"/>
        <v>13.6283543089587</v>
      </c>
      <c r="E62" s="307">
        <f t="shared" ca="1" si="9"/>
        <v>62.419008520067379</v>
      </c>
      <c r="F62" s="304">
        <f t="shared" ca="1" si="10"/>
        <v>63.889472261075667</v>
      </c>
      <c r="G62" s="306">
        <f t="shared" ca="1" si="11"/>
        <v>6.7935062369910044</v>
      </c>
      <c r="H62" s="307">
        <f t="shared" ca="1" si="12"/>
        <v>35.906850322592973</v>
      </c>
      <c r="I62" s="304">
        <f t="shared" ca="1" si="13"/>
        <v>36.543858951691611</v>
      </c>
      <c r="J62" s="306">
        <f t="shared" ca="1" si="14"/>
        <v>1.8271275455334377</v>
      </c>
      <c r="K62" s="307">
        <f t="shared" ca="1" si="15"/>
        <v>10.106729318468615</v>
      </c>
      <c r="L62" s="304">
        <f t="shared" ca="1" si="0"/>
        <v>10.270558533226911</v>
      </c>
      <c r="M62" s="306">
        <f t="shared" ca="1" si="16"/>
        <v>1.3838084975837874</v>
      </c>
      <c r="N62" s="304">
        <f t="shared" ca="1" si="17"/>
        <v>79.286386565890396</v>
      </c>
      <c r="P62" s="310">
        <f t="shared" ca="1" si="18"/>
        <v>5</v>
      </c>
      <c r="Q62" s="304">
        <f t="shared" ca="1" si="19"/>
        <v>1031.5</v>
      </c>
      <c r="R62" s="306">
        <f t="shared" ca="1" si="20"/>
        <v>0.51671162709778762</v>
      </c>
      <c r="S62" s="307">
        <f t="shared" ca="1" si="21"/>
        <v>13.984335002305189</v>
      </c>
      <c r="T62" s="304">
        <f t="shared" ca="1" si="1"/>
        <v>137.18632637261391</v>
      </c>
      <c r="U62" s="311">
        <f t="shared" ca="1" si="2"/>
        <v>0</v>
      </c>
      <c r="V62" s="306">
        <f t="shared" ca="1" si="3"/>
        <v>1.223762550986599</v>
      </c>
      <c r="W62" s="304">
        <f t="shared" ca="1" si="4"/>
        <v>3.7318666229569444</v>
      </c>
      <c r="Y62" s="314" t="str">
        <f t="shared" ca="1" si="22"/>
        <v/>
      </c>
      <c r="Z62" s="315" t="str">
        <f t="shared" ca="1" si="23"/>
        <v/>
      </c>
      <c r="AA62" s="316" t="str">
        <f t="shared" ca="1" si="24"/>
        <v/>
      </c>
      <c r="AC62" s="310" t="e">
        <f t="shared" ca="1" si="25"/>
        <v>#N/A</v>
      </c>
      <c r="AD62" s="323" t="e">
        <f t="shared" ca="1" si="26"/>
        <v>#N/A</v>
      </c>
      <c r="AE62" s="324">
        <f t="shared" ca="1" si="5"/>
        <v>10.106729318468615</v>
      </c>
      <c r="AG62" s="306">
        <f t="shared" ca="1" si="27"/>
        <v>63.863575958456394</v>
      </c>
      <c r="AH62" s="304">
        <f t="shared" ca="1" si="28"/>
        <v>73.503480958132045</v>
      </c>
    </row>
    <row r="63" spans="1:34" x14ac:dyDescent="0.25">
      <c r="A63" s="347">
        <f t="shared" ca="1" si="6"/>
        <v>0.01</v>
      </c>
      <c r="B63" s="304">
        <f t="shared" ca="1" si="7"/>
        <v>0.5900000000000003</v>
      </c>
      <c r="D63" s="306">
        <f t="shared" ca="1" si="8"/>
        <v>13.663201445192517</v>
      </c>
      <c r="E63" s="307">
        <f t="shared" ca="1" si="9"/>
        <v>62.406394907920557</v>
      </c>
      <c r="F63" s="304">
        <f t="shared" ca="1" si="10"/>
        <v>63.88459281497569</v>
      </c>
      <c r="G63" s="306">
        <f t="shared" ca="1" si="11"/>
        <v>6.9301382514429299</v>
      </c>
      <c r="H63" s="307">
        <f t="shared" ca="1" si="12"/>
        <v>36.530914271672181</v>
      </c>
      <c r="I63" s="304">
        <f t="shared" ca="1" si="13"/>
        <v>37.182449000951706</v>
      </c>
      <c r="J63" s="306">
        <f t="shared" ca="1" si="14"/>
        <v>1.8957457679756073</v>
      </c>
      <c r="K63" s="307">
        <f t="shared" ca="1" si="15"/>
        <v>10.468918141439941</v>
      </c>
      <c r="L63" s="304">
        <f t="shared" ca="1" si="0"/>
        <v>10.639177556041055</v>
      </c>
      <c r="M63" s="306">
        <f t="shared" ca="1" si="16"/>
        <v>1.3833180296642993</v>
      </c>
      <c r="N63" s="304">
        <f t="shared" ca="1" si="17"/>
        <v>79.258284824117169</v>
      </c>
      <c r="P63" s="310">
        <f t="shared" ca="1" si="18"/>
        <v>5</v>
      </c>
      <c r="Q63" s="304">
        <f t="shared" ca="1" si="19"/>
        <v>1031.1666666666667</v>
      </c>
      <c r="R63" s="306">
        <f t="shared" ca="1" si="20"/>
        <v>0.51654464967749436</v>
      </c>
      <c r="S63" s="307">
        <f t="shared" ca="1" si="21"/>
        <v>13.979169555808413</v>
      </c>
      <c r="T63" s="304">
        <f t="shared" ca="1" si="1"/>
        <v>137.13565334248054</v>
      </c>
      <c r="U63" s="311">
        <f t="shared" ca="1" si="2"/>
        <v>0</v>
      </c>
      <c r="V63" s="306">
        <f t="shared" ca="1" si="3"/>
        <v>1.2237182284657371</v>
      </c>
      <c r="W63" s="304">
        <f t="shared" ca="1" si="4"/>
        <v>3.8632921702102374</v>
      </c>
      <c r="Y63" s="314" t="str">
        <f t="shared" ca="1" si="22"/>
        <v/>
      </c>
      <c r="Z63" s="315" t="str">
        <f t="shared" ca="1" si="23"/>
        <v/>
      </c>
      <c r="AA63" s="316" t="str">
        <f t="shared" ca="1" si="24"/>
        <v/>
      </c>
      <c r="AC63" s="310" t="e">
        <f t="shared" ca="1" si="25"/>
        <v>#N/A</v>
      </c>
      <c r="AD63" s="323" t="e">
        <f t="shared" ca="1" si="26"/>
        <v>#N/A</v>
      </c>
      <c r="AE63" s="324">
        <f t="shared" ca="1" si="5"/>
        <v>10.468918141439941</v>
      </c>
      <c r="AG63" s="306">
        <f t="shared" ca="1" si="27"/>
        <v>63.858557697790374</v>
      </c>
      <c r="AH63" s="304">
        <f t="shared" ca="1" si="28"/>
        <v>73.497556199023691</v>
      </c>
    </row>
    <row r="64" spans="1:34" x14ac:dyDescent="0.25">
      <c r="A64" s="347">
        <f t="shared" ca="1" si="6"/>
        <v>0.01</v>
      </c>
      <c r="B64" s="304">
        <f t="shared" ca="1" si="7"/>
        <v>0.60000000000000031</v>
      </c>
      <c r="D64" s="306">
        <f t="shared" ca="1" si="8"/>
        <v>13.697482795651972</v>
      </c>
      <c r="E64" s="307">
        <f t="shared" ca="1" si="9"/>
        <v>62.393692277204138</v>
      </c>
      <c r="F64" s="304">
        <f t="shared" ca="1" si="10"/>
        <v>63.879526226480621</v>
      </c>
      <c r="G64" s="306">
        <f t="shared" ca="1" si="11"/>
        <v>7.0671130793994497</v>
      </c>
      <c r="H64" s="307">
        <f t="shared" ca="1" si="12"/>
        <v>37.15485119444422</v>
      </c>
      <c r="I64" s="304">
        <f t="shared" ca="1" si="13"/>
        <v>37.820986959072229</v>
      </c>
      <c r="J64" s="306">
        <f t="shared" ca="1" si="14"/>
        <v>1.9657320246298193</v>
      </c>
      <c r="K64" s="307">
        <f t="shared" ca="1" si="15"/>
        <v>10.837346968770524</v>
      </c>
      <c r="L64" s="304">
        <f t="shared" ca="1" si="0"/>
        <v>11.014181391014718</v>
      </c>
      <c r="M64" s="306">
        <f t="shared" ca="1" si="16"/>
        <v>1.3828345924551173</v>
      </c>
      <c r="N64" s="304">
        <f t="shared" ca="1" si="17"/>
        <v>79.230585912371453</v>
      </c>
      <c r="P64" s="310">
        <f t="shared" ca="1" si="18"/>
        <v>5</v>
      </c>
      <c r="Q64" s="304">
        <f t="shared" ca="1" si="19"/>
        <v>1030.8333333333333</v>
      </c>
      <c r="R64" s="306">
        <f t="shared" ca="1" si="20"/>
        <v>0.51637767225720088</v>
      </c>
      <c r="S64" s="307">
        <f t="shared" ca="1" si="21"/>
        <v>13.974005779085841</v>
      </c>
      <c r="T64" s="304">
        <f t="shared" ca="1" si="1"/>
        <v>137.08499669283211</v>
      </c>
      <c r="U64" s="311">
        <f t="shared" ca="1" si="2"/>
        <v>0</v>
      </c>
      <c r="V64" s="306">
        <f t="shared" ca="1" si="3"/>
        <v>1.2236731439762809</v>
      </c>
      <c r="W64" s="304">
        <f t="shared" ca="1" si="4"/>
        <v>3.9969736663026452</v>
      </c>
      <c r="Y64" s="314" t="str">
        <f t="shared" ca="1" si="22"/>
        <v/>
      </c>
      <c r="Z64" s="315" t="str">
        <f t="shared" ca="1" si="23"/>
        <v/>
      </c>
      <c r="AA64" s="316" t="str">
        <f t="shared" ca="1" si="24"/>
        <v/>
      </c>
      <c r="AC64" s="310" t="e">
        <f t="shared" ca="1" si="25"/>
        <v>#N/A</v>
      </c>
      <c r="AD64" s="323" t="e">
        <f t="shared" ca="1" si="26"/>
        <v>#N/A</v>
      </c>
      <c r="AE64" s="324">
        <f t="shared" ca="1" si="5"/>
        <v>10.837346968770524</v>
      </c>
      <c r="AG64" s="306">
        <f t="shared" ca="1" si="27"/>
        <v>63.853353852014919</v>
      </c>
      <c r="AH64" s="304">
        <f t="shared" ca="1" si="28"/>
        <v>73.49145673749004</v>
      </c>
    </row>
    <row r="65" spans="1:34" x14ac:dyDescent="0.25">
      <c r="A65" s="347">
        <f t="shared" ca="1" si="6"/>
        <v>0.01</v>
      </c>
      <c r="B65" s="304">
        <f t="shared" ca="1" si="7"/>
        <v>0.61000000000000032</v>
      </c>
      <c r="D65" s="306">
        <f t="shared" ca="1" si="8"/>
        <v>13.731214757425564</v>
      </c>
      <c r="E65" s="307">
        <f t="shared" ca="1" si="9"/>
        <v>62.380898220982999</v>
      </c>
      <c r="F65" s="304">
        <f t="shared" ca="1" si="10"/>
        <v>63.874272767454514</v>
      </c>
      <c r="G65" s="306">
        <f t="shared" ca="1" si="11"/>
        <v>7.2044252269737052</v>
      </c>
      <c r="H65" s="307">
        <f t="shared" ca="1" si="12"/>
        <v>37.77866017665405</v>
      </c>
      <c r="I65" s="304">
        <f t="shared" ca="1" si="13"/>
        <v>38.459470973924766</v>
      </c>
      <c r="J65" s="306">
        <f t="shared" ca="1" si="14"/>
        <v>2.037089716161685</v>
      </c>
      <c r="K65" s="307">
        <f t="shared" ca="1" si="15"/>
        <v>11.212014525626016</v>
      </c>
      <c r="L65" s="304">
        <f t="shared" ca="1" si="0"/>
        <v>11.395569500228607</v>
      </c>
      <c r="M65" s="306">
        <f t="shared" ca="1" si="16"/>
        <v>1.3823579695599284</v>
      </c>
      <c r="N65" s="304">
        <f t="shared" ca="1" si="17"/>
        <v>79.203277432057817</v>
      </c>
      <c r="P65" s="310">
        <f t="shared" ca="1" si="18"/>
        <v>5</v>
      </c>
      <c r="Q65" s="304">
        <f t="shared" ca="1" si="19"/>
        <v>1030.5</v>
      </c>
      <c r="R65" s="306">
        <f t="shared" ca="1" si="20"/>
        <v>0.51621069483690762</v>
      </c>
      <c r="S65" s="307">
        <f t="shared" ca="1" si="21"/>
        <v>13.968843672137472</v>
      </c>
      <c r="T65" s="304">
        <f t="shared" ca="1" si="1"/>
        <v>137.03435642366861</v>
      </c>
      <c r="U65" s="311">
        <f t="shared" ca="1" si="2"/>
        <v>0</v>
      </c>
      <c r="V65" s="306">
        <f t="shared" ca="1" si="3"/>
        <v>1.2236272977584843</v>
      </c>
      <c r="W65" s="304">
        <f t="shared" ca="1" si="4"/>
        <v>4.1329096556724041</v>
      </c>
      <c r="Y65" s="314" t="str">
        <f t="shared" ca="1" si="22"/>
        <v/>
      </c>
      <c r="Z65" s="315" t="str">
        <f t="shared" ca="1" si="23"/>
        <v/>
      </c>
      <c r="AA65" s="316" t="str">
        <f t="shared" ca="1" si="24"/>
        <v/>
      </c>
      <c r="AC65" s="310" t="e">
        <f t="shared" ca="1" si="25"/>
        <v>#N/A</v>
      </c>
      <c r="AD65" s="323" t="e">
        <f t="shared" ca="1" si="26"/>
        <v>#N/A</v>
      </c>
      <c r="AE65" s="324">
        <f t="shared" ca="1" si="5"/>
        <v>11.212014525626016</v>
      </c>
      <c r="AG65" s="306">
        <f t="shared" ca="1" si="27"/>
        <v>63.847964644544923</v>
      </c>
      <c r="AH65" s="304">
        <f t="shared" ca="1" si="28"/>
        <v>73.485182483728437</v>
      </c>
    </row>
    <row r="66" spans="1:34" x14ac:dyDescent="0.25">
      <c r="A66" s="347">
        <f t="shared" ca="1" si="6"/>
        <v>0.01</v>
      </c>
      <c r="B66" s="304">
        <f t="shared" ca="1" si="7"/>
        <v>0.62000000000000033</v>
      </c>
      <c r="D66" s="306">
        <f t="shared" ca="1" si="8"/>
        <v>13.76441294666893</v>
      </c>
      <c r="E66" s="307">
        <f t="shared" ca="1" si="9"/>
        <v>62.368010439532995</v>
      </c>
      <c r="F66" s="304">
        <f t="shared" ca="1" si="10"/>
        <v>63.86883269601946</v>
      </c>
      <c r="G66" s="306">
        <f t="shared" ca="1" si="11"/>
        <v>7.3420693564403949</v>
      </c>
      <c r="H66" s="307">
        <f t="shared" ca="1" si="12"/>
        <v>38.402340281049376</v>
      </c>
      <c r="I66" s="304">
        <f t="shared" ca="1" si="13"/>
        <v>39.097899195433612</v>
      </c>
      <c r="J66" s="306">
        <f t="shared" ca="1" si="14"/>
        <v>2.1098221890787556</v>
      </c>
      <c r="K66" s="307">
        <f t="shared" ca="1" si="15"/>
        <v>11.592919527914532</v>
      </c>
      <c r="L66" s="304">
        <f t="shared" ca="1" si="0"/>
        <v>11.783341327918459</v>
      </c>
      <c r="M66" s="306">
        <f t="shared" ca="1" si="16"/>
        <v>1.3818879546520531</v>
      </c>
      <c r="N66" s="304">
        <f t="shared" ca="1" si="17"/>
        <v>79.176347561528331</v>
      </c>
      <c r="P66" s="310">
        <f t="shared" ca="1" si="18"/>
        <v>5</v>
      </c>
      <c r="Q66" s="304">
        <f t="shared" ca="1" si="19"/>
        <v>1030.1666666666667</v>
      </c>
      <c r="R66" s="306">
        <f t="shared" ca="1" si="20"/>
        <v>0.51604371741661426</v>
      </c>
      <c r="S66" s="307">
        <f t="shared" ca="1" si="21"/>
        <v>13.963683234963307</v>
      </c>
      <c r="T66" s="304">
        <f t="shared" ca="1" si="1"/>
        <v>136.98373253499005</v>
      </c>
      <c r="U66" s="311">
        <f t="shared" ca="1" si="2"/>
        <v>0</v>
      </c>
      <c r="V66" s="306">
        <f t="shared" ca="1" si="3"/>
        <v>1.2235806900551296</v>
      </c>
      <c r="W66" s="304">
        <f t="shared" ca="1" si="4"/>
        <v>4.2710986486107343</v>
      </c>
      <c r="Y66" s="314" t="str">
        <f t="shared" ca="1" si="22"/>
        <v/>
      </c>
      <c r="Z66" s="315" t="str">
        <f t="shared" ca="1" si="23"/>
        <v/>
      </c>
      <c r="AA66" s="316" t="str">
        <f t="shared" ca="1" si="24"/>
        <v/>
      </c>
      <c r="AC66" s="310" t="e">
        <f t="shared" ca="1" si="25"/>
        <v>#N/A</v>
      </c>
      <c r="AD66" s="323" t="e">
        <f t="shared" ca="1" si="26"/>
        <v>#N/A</v>
      </c>
      <c r="AE66" s="324">
        <f t="shared" ca="1" si="5"/>
        <v>11.592919527914532</v>
      </c>
      <c r="AG66" s="306">
        <f t="shared" ca="1" si="27"/>
        <v>63.842390287201283</v>
      </c>
      <c r="AH66" s="304">
        <f t="shared" ca="1" si="28"/>
        <v>73.4787333503767</v>
      </c>
    </row>
    <row r="67" spans="1:34" x14ac:dyDescent="0.25">
      <c r="A67" s="347">
        <f t="shared" ca="1" si="6"/>
        <v>0.01</v>
      </c>
      <c r="B67" s="304">
        <f t="shared" ca="1" si="7"/>
        <v>0.63000000000000034</v>
      </c>
      <c r="D67" s="306">
        <f t="shared" ca="1" si="8"/>
        <v>13.797092247834543</v>
      </c>
      <c r="E67" s="307">
        <f t="shared" ca="1" si="9"/>
        <v>62.355026733995572</v>
      </c>
      <c r="F67" s="304">
        <f t="shared" ca="1" si="10"/>
        <v>63.863206257535786</v>
      </c>
      <c r="G67" s="306">
        <f t="shared" ca="1" si="11"/>
        <v>7.4800402789187403</v>
      </c>
      <c r="H67" s="307">
        <f t="shared" ca="1" si="12"/>
        <v>39.025890548389334</v>
      </c>
      <c r="I67" s="304">
        <f t="shared" ca="1" si="13"/>
        <v>39.736269775472266</v>
      </c>
      <c r="J67" s="306">
        <f t="shared" ca="1" si="14"/>
        <v>2.1839327372555513</v>
      </c>
      <c r="K67" s="307">
        <f t="shared" ca="1" si="15"/>
        <v>11.980060682061726</v>
      </c>
      <c r="L67" s="304">
        <f t="shared" ca="1" si="0"/>
        <v>12.177496300419795</v>
      </c>
      <c r="M67" s="306">
        <f t="shared" ca="1" si="16"/>
        <v>1.3814243508514616</v>
      </c>
      <c r="N67" s="304">
        <f t="shared" ca="1" si="17"/>
        <v>79.149785020388222</v>
      </c>
      <c r="P67" s="310">
        <f t="shared" ca="1" si="18"/>
        <v>5</v>
      </c>
      <c r="Q67" s="304">
        <f t="shared" ca="1" si="19"/>
        <v>1029.8333333333333</v>
      </c>
      <c r="R67" s="306">
        <f t="shared" ca="1" si="20"/>
        <v>0.51587673999632078</v>
      </c>
      <c r="S67" s="307">
        <f t="shared" ca="1" si="21"/>
        <v>13.958524467563343</v>
      </c>
      <c r="T67" s="304">
        <f t="shared" ca="1" si="1"/>
        <v>136.9331250267964</v>
      </c>
      <c r="U67" s="311">
        <f t="shared" ca="1" si="2"/>
        <v>0</v>
      </c>
      <c r="V67" s="306">
        <f t="shared" ca="1" si="3"/>
        <v>1.2235333211115518</v>
      </c>
      <c r="W67" s="304">
        <f t="shared" ca="1" si="4"/>
        <v>4.4115391212981079</v>
      </c>
      <c r="Y67" s="314" t="str">
        <f t="shared" ca="1" si="22"/>
        <v/>
      </c>
      <c r="Z67" s="315" t="str">
        <f t="shared" ca="1" si="23"/>
        <v/>
      </c>
      <c r="AA67" s="316" t="str">
        <f t="shared" ca="1" si="24"/>
        <v/>
      </c>
      <c r="AC67" s="310" t="e">
        <f t="shared" ca="1" si="25"/>
        <v>#N/A</v>
      </c>
      <c r="AD67" s="323" t="e">
        <f t="shared" ca="1" si="26"/>
        <v>#N/A</v>
      </c>
      <c r="AE67" s="324">
        <f t="shared" ca="1" si="5"/>
        <v>11.980060682061726</v>
      </c>
      <c r="AG67" s="306">
        <f t="shared" ca="1" si="27"/>
        <v>63.836630981061482</v>
      </c>
      <c r="AH67" s="304">
        <f t="shared" ca="1" si="28"/>
        <v>73.472109252515352</v>
      </c>
    </row>
    <row r="68" spans="1:34" x14ac:dyDescent="0.25">
      <c r="A68" s="347">
        <f t="shared" ca="1" si="6"/>
        <v>0.01</v>
      </c>
      <c r="B68" s="304">
        <f t="shared" ca="1" si="7"/>
        <v>0.64000000000000035</v>
      </c>
      <c r="D68" s="306">
        <f t="shared" ca="1" si="8"/>
        <v>13.829266859060452</v>
      </c>
      <c r="E68" s="307">
        <f t="shared" ca="1" si="9"/>
        <v>62.34194500051224</v>
      </c>
      <c r="F68" s="304">
        <f t="shared" ca="1" si="10"/>
        <v>63.857393685508342</v>
      </c>
      <c r="G68" s="306">
        <f t="shared" ca="1" si="11"/>
        <v>7.6183329475093444</v>
      </c>
      <c r="H68" s="307">
        <f t="shared" ca="1" si="12"/>
        <v>39.649309998394457</v>
      </c>
      <c r="I68" s="304">
        <f t="shared" ca="1" si="13"/>
        <v>40.374580867767399</v>
      </c>
      <c r="J68" s="306">
        <f t="shared" ca="1" si="14"/>
        <v>2.2594246033876915</v>
      </c>
      <c r="K68" s="307">
        <f t="shared" ca="1" si="15"/>
        <v>12.373436684795646</v>
      </c>
      <c r="L68" s="304">
        <f t="shared" ref="L68:L131" ca="1" si="29">SQRT(pos_x^2+pos_z^2)</f>
        <v>12.57803382612085</v>
      </c>
      <c r="M68" s="306">
        <f t="shared" ca="1" si="16"/>
        <v>1.3809669701495826</v>
      </c>
      <c r="N68" s="304">
        <f t="shared" ca="1" si="17"/>
        <v>79.123579036539823</v>
      </c>
      <c r="P68" s="310">
        <f t="shared" ca="1" si="18"/>
        <v>5</v>
      </c>
      <c r="Q68" s="304">
        <f t="shared" ca="1" si="19"/>
        <v>1029.5</v>
      </c>
      <c r="R68" s="306">
        <f t="shared" ca="1" si="20"/>
        <v>0.51570976257602752</v>
      </c>
      <c r="S68" s="307">
        <f t="shared" ca="1" si="21"/>
        <v>13.953367369937583</v>
      </c>
      <c r="T68" s="304">
        <f t="shared" ref="T68:T131" ca="1" si="30">m*g</f>
        <v>136.88253389908769</v>
      </c>
      <c r="U68" s="311">
        <f t="shared" ref="U68:U131" ca="1" si="31">IF(pos_xz&lt;L_rampe,Poids*COS(Beta),0)</f>
        <v>0</v>
      </c>
      <c r="V68" s="306">
        <f t="shared" ref="V68:V131" ca="1" si="32">Rho_moyen*(20000-Alt_rampe-pos_z)/(20000+Alt_rampe+pos_z)</f>
        <v>1.2234851911756663</v>
      </c>
      <c r="W68" s="304">
        <f t="shared" ref="W68:W131" ca="1" si="33">1/2*Rho*Sref*Cx*vit_xz^2</f>
        <v>4.5542295158405004</v>
      </c>
      <c r="Y68" s="314" t="str">
        <f t="shared" ca="1" si="22"/>
        <v/>
      </c>
      <c r="Z68" s="315" t="str">
        <f t="shared" ca="1" si="23"/>
        <v/>
      </c>
      <c r="AA68" s="316" t="str">
        <f t="shared" ca="1" si="24"/>
        <v/>
      </c>
      <c r="AC68" s="310" t="e">
        <f t="shared" ca="1" si="25"/>
        <v>#N/A</v>
      </c>
      <c r="AD68" s="323" t="e">
        <f t="shared" ca="1" si="26"/>
        <v>#N/A</v>
      </c>
      <c r="AE68" s="324">
        <f t="shared" ref="AE68:AE131" ca="1" si="34">IF(t&lt;T_para, pos_z, NA())</f>
        <v>12.373436684795646</v>
      </c>
      <c r="AG68" s="306">
        <f t="shared" ca="1" si="27"/>
        <v>63.830686917245785</v>
      </c>
      <c r="AH68" s="304">
        <f t="shared" ca="1" si="28"/>
        <v>73.465310107669538</v>
      </c>
    </row>
    <row r="69" spans="1:34" x14ac:dyDescent="0.25">
      <c r="A69" s="347">
        <f t="shared" ref="A69:A132" ca="1" si="35">IF(B68+0.01&lt;=T_ini+ROUNDUP(Temps_fin_propu,0), 0.01, IF(K68&gt;0, 0.1, 0.0001))</f>
        <v>0.01</v>
      </c>
      <c r="B69" s="304">
        <f t="shared" ref="B69:B132" ca="1" si="36">B68+pas</f>
        <v>0.65000000000000036</v>
      </c>
      <c r="D69" s="306">
        <f t="shared" ref="D69:D132" ca="1" si="37">IF(AND(L68&lt;L_rampe,Poussee&lt;Poids*SIN(M68)),0,(-W68+Poussee)/m*COS(M68)-U68/m*SIN(M68))</f>
        <v>13.860950334073699</v>
      </c>
      <c r="E69" s="307">
        <f t="shared" ref="E69:E132" ca="1" si="38">IF(AND(L68&lt;L_rampe,Poussee&lt;Poids*SIN(M68)),0,(-W68+Poussee)/m*SIN(M68)+U68/m*COS(M68)-Poids/m)</f>
        <v>62.328763224795807</v>
      </c>
      <c r="F69" s="304">
        <f t="shared" ref="F69:F132" ca="1" si="39">SQRT(acc_x^2+acc_z^2)</f>
        <v>63.851395202425422</v>
      </c>
      <c r="G69" s="306">
        <f t="shared" ref="G69:G132" ca="1" si="40">G68+acc_x*pas</f>
        <v>7.7569424508500813</v>
      </c>
      <c r="H69" s="307">
        <f t="shared" ref="H69:H132" ca="1" si="41">H68+acc_z*pas</f>
        <v>40.272597630642416</v>
      </c>
      <c r="I69" s="304">
        <f t="shared" ref="I69:I132" ca="1" si="42">SQRT(vit_x^2+vit_z^2)</f>
        <v>41.01283062780994</v>
      </c>
      <c r="J69" s="306">
        <f t="shared" ref="J69:J132" ca="1" si="43">J68+0.5*(vit_x+G68)*pas*(K68&gt;=0)</f>
        <v>2.3363009803794887</v>
      </c>
      <c r="K69" s="307">
        <f t="shared" ref="K69:K132" ca="1" si="44">K68+0.5*(vit_z+H68)*pas</f>
        <v>12.773046222940831</v>
      </c>
      <c r="L69" s="304">
        <f t="shared" ca="1" si="29"/>
        <v>12.98495329542256</v>
      </c>
      <c r="M69" s="306">
        <f t="shared" ref="M69:M132" ca="1" si="45">IF(AND(L68&gt;L_rampe,G69&gt;0),ATAN2(G69,H69),$M$4)</f>
        <v>1.3805156328775468</v>
      </c>
      <c r="N69" s="304">
        <f t="shared" ref="N69:N132" ca="1" si="46">DEGREES(Beta)</f>
        <v>79.097719315715224</v>
      </c>
      <c r="P69" s="310">
        <f t="shared" ref="P69:P132" ca="1" si="47">MATCH(t-pas/2-T_ini,CdP_t)</f>
        <v>5</v>
      </c>
      <c r="Q69" s="304">
        <f t="shared" ref="Q69:Q132" ca="1" si="48">(INDEX(CdP,2,i_P+1)-INDEX(CdP,2,i_P+0))/(INDEX(CdP,1,i_P+1)-INDEX(CdP,1,i_P+0))*(t-pas/2-T_ini-INDEX(CdP,1,i_P+0))+INDEX(CdP,2,i_P+0)</f>
        <v>1029.1666666666667</v>
      </c>
      <c r="R69" s="306">
        <f t="shared" ref="R69:R132" ca="1" si="49">Poussee/(g*ISP)</f>
        <v>0.51554278515573415</v>
      </c>
      <c r="S69" s="307">
        <f t="shared" ref="S69:S132" ca="1" si="50">S68-Débit*pas</f>
        <v>13.948211942086026</v>
      </c>
      <c r="T69" s="304">
        <f t="shared" ca="1" si="30"/>
        <v>136.83195915186391</v>
      </c>
      <c r="U69" s="311">
        <f t="shared" ca="1" si="31"/>
        <v>0</v>
      </c>
      <c r="V69" s="306">
        <f t="shared" ca="1" si="32"/>
        <v>1.2234363004979907</v>
      </c>
      <c r="W69" s="304">
        <f t="shared" ca="1" si="33"/>
        <v>4.6991682403057027</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12.773046222940831</v>
      </c>
      <c r="AG69" s="306">
        <f t="shared" ref="AG69:AG132" ca="1" si="56">IF(AND(L68&lt;L_rampe,Poussee&lt;Poids*SIN(M68)),0,(-W68+Poussee)/m-Poids*SIN(M68)/m)</f>
        <v>63.824558277645252</v>
      </c>
      <c r="AH69" s="304">
        <f t="shared" ref="AH69:AH132" ca="1" si="57">IF(AND(L68&lt;L_rampe,Poussee&lt;Poids*SIN(M68)), g*SIN(M68), (-W68+Poussee)/m)</f>
        <v>73.458335835811098</v>
      </c>
    </row>
    <row r="70" spans="1:34" x14ac:dyDescent="0.25">
      <c r="A70" s="347">
        <f t="shared" ca="1" si="35"/>
        <v>0.01</v>
      </c>
      <c r="B70" s="304">
        <f t="shared" ca="1" si="36"/>
        <v>0.66000000000000036</v>
      </c>
      <c r="D70" s="306">
        <f t="shared" ca="1" si="37"/>
        <v>13.892155620926196</v>
      </c>
      <c r="E70" s="307">
        <f t="shared" ca="1" si="38"/>
        <v>62.315479477099316</v>
      </c>
      <c r="F70" s="304">
        <f t="shared" ca="1" si="39"/>
        <v>63.845211020536361</v>
      </c>
      <c r="G70" s="306">
        <f t="shared" ca="1" si="40"/>
        <v>7.8958640070593429</v>
      </c>
      <c r="H70" s="307">
        <f t="shared" ca="1" si="41"/>
        <v>40.895752425413406</v>
      </c>
      <c r="I70" s="304">
        <f t="shared" ca="1" si="42"/>
        <v>41.651017212772629</v>
      </c>
      <c r="J70" s="306">
        <f t="shared" ca="1" si="43"/>
        <v>2.4145650126690357</v>
      </c>
      <c r="K70" s="307">
        <f t="shared" ca="1" si="44"/>
        <v>13.17888797322111</v>
      </c>
      <c r="L70" s="304">
        <f t="shared" ca="1" si="29"/>
        <v>13.398254080704598</v>
      </c>
      <c r="M70" s="306">
        <f t="shared" ca="1" si="45"/>
        <v>1.380070167213973</v>
      </c>
      <c r="N70" s="304">
        <f t="shared" ca="1" si="46"/>
        <v>79.07219601327445</v>
      </c>
      <c r="P70" s="310">
        <f t="shared" ca="1" si="47"/>
        <v>5</v>
      </c>
      <c r="Q70" s="304">
        <f t="shared" ca="1" si="48"/>
        <v>1028.8333333333333</v>
      </c>
      <c r="R70" s="306">
        <f t="shared" ca="1" si="49"/>
        <v>0.51537580773544078</v>
      </c>
      <c r="S70" s="307">
        <f t="shared" ca="1" si="50"/>
        <v>13.943058184008672</v>
      </c>
      <c r="T70" s="304">
        <f t="shared" ca="1" si="30"/>
        <v>136.78140078512507</v>
      </c>
      <c r="U70" s="311">
        <f t="shared" ca="1" si="31"/>
        <v>0</v>
      </c>
      <c r="V70" s="306">
        <f t="shared" ca="1" si="32"/>
        <v>1.2233866493316667</v>
      </c>
      <c r="W70" s="304">
        <f t="shared" ca="1" si="33"/>
        <v>4.8463536687597397</v>
      </c>
      <c r="Y70" s="314" t="str">
        <f t="shared" ca="1" si="51"/>
        <v/>
      </c>
      <c r="Z70" s="315" t="str">
        <f t="shared" ca="1" si="52"/>
        <v/>
      </c>
      <c r="AA70" s="316" t="str">
        <f t="shared" ca="1" si="53"/>
        <v/>
      </c>
      <c r="AC70" s="310" t="e">
        <f t="shared" ca="1" si="54"/>
        <v>#N/A</v>
      </c>
      <c r="AD70" s="323" t="e">
        <f t="shared" ca="1" si="55"/>
        <v>#N/A</v>
      </c>
      <c r="AE70" s="324">
        <f t="shared" ca="1" si="34"/>
        <v>13.17888797322111</v>
      </c>
      <c r="AG70" s="306">
        <f t="shared" ca="1" si="56"/>
        <v>63.818245235596407</v>
      </c>
      <c r="AH70" s="304">
        <f t="shared" ca="1" si="57"/>
        <v>73.451186359360506</v>
      </c>
    </row>
    <row r="71" spans="1:34" x14ac:dyDescent="0.25">
      <c r="A71" s="347">
        <f t="shared" ca="1" si="35"/>
        <v>0.01</v>
      </c>
      <c r="B71" s="304">
        <f t="shared" ca="1" si="36"/>
        <v>0.67000000000000037</v>
      </c>
      <c r="D71" s="306">
        <f t="shared" ca="1" si="37"/>
        <v>13.922895097847343</v>
      </c>
      <c r="E71" s="307">
        <f t="shared" ca="1" si="38"/>
        <v>62.302091907548444</v>
      </c>
      <c r="F71" s="304">
        <f t="shared" ca="1" si="39"/>
        <v>63.838841342573524</v>
      </c>
      <c r="G71" s="306">
        <f t="shared" ca="1" si="40"/>
        <v>8.0350929580378168</v>
      </c>
      <c r="H71" s="307">
        <f t="shared" ca="1" si="41"/>
        <v>41.518773344488892</v>
      </c>
      <c r="I71" s="304">
        <f t="shared" ca="1" si="42"/>
        <v>42.289138781433586</v>
      </c>
      <c r="J71" s="306">
        <f t="shared" ca="1" si="43"/>
        <v>2.4942197974945213</v>
      </c>
      <c r="K71" s="307">
        <f t="shared" ca="1" si="44"/>
        <v>13.590960602070622</v>
      </c>
      <c r="L71" s="304">
        <f t="shared" ca="1" si="29"/>
        <v>13.817935536296638</v>
      </c>
      <c r="M71" s="306">
        <f t="shared" ca="1" si="45"/>
        <v>1.3796304087288018</v>
      </c>
      <c r="N71" s="304">
        <f t="shared" ca="1" si="46"/>
        <v>79.04699970806908</v>
      </c>
      <c r="P71" s="310">
        <f t="shared" ca="1" si="47"/>
        <v>5</v>
      </c>
      <c r="Q71" s="304">
        <f t="shared" ca="1" si="48"/>
        <v>1028.5</v>
      </c>
      <c r="R71" s="306">
        <f t="shared" ca="1" si="49"/>
        <v>0.51520883031514741</v>
      </c>
      <c r="S71" s="307">
        <f t="shared" ca="1" si="50"/>
        <v>13.93790609570552</v>
      </c>
      <c r="T71" s="304">
        <f t="shared" ca="1" si="30"/>
        <v>136.73085879887117</v>
      </c>
      <c r="U71" s="311">
        <f t="shared" ca="1" si="31"/>
        <v>0</v>
      </c>
      <c r="V71" s="306">
        <f t="shared" ca="1" si="32"/>
        <v>1.2233362379324817</v>
      </c>
      <c r="W71" s="304">
        <f t="shared" ca="1" si="33"/>
        <v>4.9957841413034387</v>
      </c>
      <c r="Y71" s="314" t="str">
        <f t="shared" ca="1" si="51"/>
        <v/>
      </c>
      <c r="Z71" s="315" t="str">
        <f t="shared" ca="1" si="52"/>
        <v/>
      </c>
      <c r="AA71" s="316" t="str">
        <f t="shared" ca="1" si="53"/>
        <v/>
      </c>
      <c r="AC71" s="310" t="e">
        <f t="shared" ca="1" si="54"/>
        <v>#N/A</v>
      </c>
      <c r="AD71" s="323" t="e">
        <f t="shared" ca="1" si="55"/>
        <v>#N/A</v>
      </c>
      <c r="AE71" s="324">
        <f t="shared" ca="1" si="34"/>
        <v>13.590960602070622</v>
      </c>
      <c r="AG71" s="306">
        <f t="shared" ca="1" si="56"/>
        <v>63.811747956507659</v>
      </c>
      <c r="AH71" s="304">
        <f t="shared" ca="1" si="57"/>
        <v>73.443861603188978</v>
      </c>
    </row>
    <row r="72" spans="1:34" x14ac:dyDescent="0.25">
      <c r="A72" s="347">
        <f t="shared" ca="1" si="35"/>
        <v>0.01</v>
      </c>
      <c r="B72" s="304">
        <f t="shared" ca="1" si="36"/>
        <v>0.68000000000000038</v>
      </c>
      <c r="D72" s="306">
        <f t="shared" ca="1" si="37"/>
        <v>13.953180606468257</v>
      </c>
      <c r="E72" s="307">
        <f t="shared" ca="1" si="38"/>
        <v>62.288598741805259</v>
      </c>
      <c r="F72" s="304">
        <f t="shared" ca="1" si="39"/>
        <v>63.832286362422785</v>
      </c>
      <c r="G72" s="306">
        <f t="shared" ca="1" si="40"/>
        <v>8.1746247641025001</v>
      </c>
      <c r="H72" s="307">
        <f t="shared" ca="1" si="41"/>
        <v>42.141659331906943</v>
      </c>
      <c r="I72" s="304">
        <f t="shared" ca="1" si="42"/>
        <v>42.927193494105545</v>
      </c>
      <c r="J72" s="306">
        <f t="shared" ca="1" si="43"/>
        <v>2.5752683861052228</v>
      </c>
      <c r="K72" s="307">
        <f t="shared" ca="1" si="44"/>
        <v>14.009262765452601</v>
      </c>
      <c r="L72" s="304">
        <f t="shared" ca="1" si="29"/>
        <v>14.243996998454108</v>
      </c>
      <c r="M72" s="306">
        <f t="shared" ca="1" si="45"/>
        <v>1.3791961999600395</v>
      </c>
      <c r="N72" s="304">
        <f t="shared" ca="1" si="46"/>
        <v>79.022121378191429</v>
      </c>
      <c r="P72" s="310">
        <f t="shared" ca="1" si="47"/>
        <v>5</v>
      </c>
      <c r="Q72" s="304">
        <f t="shared" ca="1" si="48"/>
        <v>1028.1666666666667</v>
      </c>
      <c r="R72" s="306">
        <f t="shared" ca="1" si="49"/>
        <v>0.51504185289485416</v>
      </c>
      <c r="S72" s="307">
        <f t="shared" ca="1" si="50"/>
        <v>13.932755677176571</v>
      </c>
      <c r="T72" s="304">
        <f t="shared" ca="1" si="30"/>
        <v>136.68033319310217</v>
      </c>
      <c r="U72" s="311">
        <f t="shared" ca="1" si="31"/>
        <v>0</v>
      </c>
      <c r="V72" s="306">
        <f t="shared" ca="1" si="32"/>
        <v>1.2232850665588921</v>
      </c>
      <c r="W72" s="304">
        <f t="shared" ca="1" si="33"/>
        <v>5.1474579641092424</v>
      </c>
      <c r="Y72" s="314" t="str">
        <f t="shared" ca="1" si="51"/>
        <v/>
      </c>
      <c r="Z72" s="315" t="str">
        <f t="shared" ca="1" si="52"/>
        <v/>
      </c>
      <c r="AA72" s="316" t="str">
        <f t="shared" ca="1" si="53"/>
        <v/>
      </c>
      <c r="AC72" s="310" t="e">
        <f t="shared" ca="1" si="54"/>
        <v>#N/A</v>
      </c>
      <c r="AD72" s="323" t="e">
        <f t="shared" ca="1" si="55"/>
        <v>#N/A</v>
      </c>
      <c r="AE72" s="324">
        <f t="shared" ca="1" si="34"/>
        <v>14.009262765452601</v>
      </c>
      <c r="AG72" s="306">
        <f t="shared" ca="1" si="56"/>
        <v>63.805066598441179</v>
      </c>
      <c r="AH72" s="304">
        <f t="shared" ca="1" si="57"/>
        <v>73.4363614946204</v>
      </c>
    </row>
    <row r="73" spans="1:34" x14ac:dyDescent="0.25">
      <c r="A73" s="347">
        <f t="shared" ca="1" si="35"/>
        <v>0.01</v>
      </c>
      <c r="B73" s="304">
        <f t="shared" ca="1" si="36"/>
        <v>0.69000000000000039</v>
      </c>
      <c r="D73" s="306">
        <f t="shared" ca="1" si="37"/>
        <v>13.983023482646489</v>
      </c>
      <c r="E73" s="307">
        <f t="shared" ca="1" si="38"/>
        <v>62.274998277035849</v>
      </c>
      <c r="F73" s="304">
        <f t="shared" ca="1" si="39"/>
        <v>63.825546265747391</v>
      </c>
      <c r="G73" s="306">
        <f t="shared" ca="1" si="40"/>
        <v>8.3144549989289658</v>
      </c>
      <c r="H73" s="307">
        <f t="shared" ca="1" si="41"/>
        <v>42.764409314677302</v>
      </c>
      <c r="I73" s="304">
        <f t="shared" ca="1" si="42"/>
        <v>43.565179512570282</v>
      </c>
      <c r="J73" s="306">
        <f t="shared" ca="1" si="43"/>
        <v>2.65771378492038</v>
      </c>
      <c r="K73" s="307">
        <f t="shared" ca="1" si="44"/>
        <v>14.433793108685522</v>
      </c>
      <c r="L73" s="304">
        <f t="shared" ca="1" si="29"/>
        <v>14.676437785337882</v>
      </c>
      <c r="M73" s="306">
        <f t="shared" ca="1" si="45"/>
        <v>1.3787673900205906</v>
      </c>
      <c r="N73" s="304">
        <f t="shared" ca="1" si="46"/>
        <v>78.997552378447736</v>
      </c>
      <c r="P73" s="310">
        <f t="shared" ca="1" si="47"/>
        <v>5</v>
      </c>
      <c r="Q73" s="304">
        <f t="shared" ca="1" si="48"/>
        <v>1027.8333333333333</v>
      </c>
      <c r="R73" s="306">
        <f t="shared" ca="1" si="49"/>
        <v>0.51487487547456068</v>
      </c>
      <c r="S73" s="307">
        <f t="shared" ca="1" si="50"/>
        <v>13.927606928421826</v>
      </c>
      <c r="T73" s="304">
        <f t="shared" ca="1" si="30"/>
        <v>136.62982396781811</v>
      </c>
      <c r="U73" s="311">
        <f t="shared" ca="1" si="31"/>
        <v>0</v>
      </c>
      <c r="V73" s="306">
        <f t="shared" ca="1" si="32"/>
        <v>1.2232331354720385</v>
      </c>
      <c r="W73" s="304">
        <f t="shared" ca="1" si="33"/>
        <v>5.301373409458229</v>
      </c>
      <c r="Y73" s="314" t="str">
        <f t="shared" ca="1" si="51"/>
        <v/>
      </c>
      <c r="Z73" s="315" t="str">
        <f t="shared" ca="1" si="52"/>
        <v/>
      </c>
      <c r="AA73" s="316" t="str">
        <f t="shared" ca="1" si="53"/>
        <v/>
      </c>
      <c r="AC73" s="310" t="e">
        <f t="shared" ca="1" si="54"/>
        <v>#N/A</v>
      </c>
      <c r="AD73" s="323" t="e">
        <f t="shared" ca="1" si="55"/>
        <v>#N/A</v>
      </c>
      <c r="AE73" s="324">
        <f t="shared" ca="1" si="34"/>
        <v>14.433793108685522</v>
      </c>
      <c r="AG73" s="306">
        <f t="shared" ca="1" si="56"/>
        <v>63.798201312654214</v>
      </c>
      <c r="AH73" s="304">
        <f t="shared" ca="1" si="57"/>
        <v>73.428685963433296</v>
      </c>
    </row>
    <row r="74" spans="1:34" x14ac:dyDescent="0.25">
      <c r="A74" s="347">
        <f t="shared" ca="1" si="35"/>
        <v>0.01</v>
      </c>
      <c r="B74" s="304">
        <f t="shared" ca="1" si="36"/>
        <v>0.7000000000000004</v>
      </c>
      <c r="D74" s="306">
        <f t="shared" ca="1" si="37"/>
        <v>14.012434585097258</v>
      </c>
      <c r="E74" s="307">
        <f t="shared" ca="1" si="38"/>
        <v>62.261288878156222</v>
      </c>
      <c r="F74" s="304">
        <f t="shared" ca="1" si="39"/>
        <v>63.818621230569136</v>
      </c>
      <c r="G74" s="306">
        <f t="shared" ca="1" si="40"/>
        <v>8.4545793447799387</v>
      </c>
      <c r="H74" s="307">
        <f t="shared" ca="1" si="41"/>
        <v>43.387022203458862</v>
      </c>
      <c r="I74" s="304">
        <f t="shared" ca="1" si="42"/>
        <v>44.203095000017946</v>
      </c>
      <c r="J74" s="306">
        <f t="shared" ca="1" si="43"/>
        <v>2.7415589566389245</v>
      </c>
      <c r="K74" s="307">
        <f t="shared" ca="1" si="44"/>
        <v>14.864550266276204</v>
      </c>
      <c r="L74" s="304">
        <f t="shared" ca="1" si="29"/>
        <v>15.115257196997314</v>
      </c>
      <c r="M74" s="306">
        <f t="shared" ca="1" si="45"/>
        <v>1.378343834232636</v>
      </c>
      <c r="N74" s="304">
        <f t="shared" ca="1" si="46"/>
        <v>78.973284419409595</v>
      </c>
      <c r="P74" s="310">
        <f t="shared" ca="1" si="47"/>
        <v>5</v>
      </c>
      <c r="Q74" s="304">
        <f t="shared" ca="1" si="48"/>
        <v>1027.5</v>
      </c>
      <c r="R74" s="306">
        <f t="shared" ca="1" si="49"/>
        <v>0.51470789805426742</v>
      </c>
      <c r="S74" s="307">
        <f t="shared" ca="1" si="50"/>
        <v>13.922459849441283</v>
      </c>
      <c r="T74" s="304">
        <f t="shared" ca="1" si="30"/>
        <v>136.57933112301899</v>
      </c>
      <c r="U74" s="311">
        <f t="shared" ca="1" si="31"/>
        <v>0</v>
      </c>
      <c r="V74" s="306">
        <f t="shared" ca="1" si="32"/>
        <v>1.2231804449357668</v>
      </c>
      <c r="W74" s="304">
        <f t="shared" ca="1" si="33"/>
        <v>5.4575287157774737</v>
      </c>
      <c r="Y74" s="314" t="str">
        <f t="shared" ca="1" si="51"/>
        <v/>
      </c>
      <c r="Z74" s="315" t="str">
        <f t="shared" ca="1" si="52"/>
        <v/>
      </c>
      <c r="AA74" s="316" t="str">
        <f t="shared" ca="1" si="53"/>
        <v/>
      </c>
      <c r="AC74" s="310" t="e">
        <f t="shared" ca="1" si="54"/>
        <v>#N/A</v>
      </c>
      <c r="AD74" s="323" t="e">
        <f t="shared" ca="1" si="55"/>
        <v>#N/A</v>
      </c>
      <c r="AE74" s="324">
        <f t="shared" ca="1" si="34"/>
        <v>14.864550266276204</v>
      </c>
      <c r="AG74" s="306">
        <f t="shared" ca="1" si="56"/>
        <v>63.791152244103401</v>
      </c>
      <c r="AH74" s="304">
        <f t="shared" ca="1" si="57"/>
        <v>73.420834941862893</v>
      </c>
    </row>
    <row r="75" spans="1:34" x14ac:dyDescent="0.25">
      <c r="A75" s="347">
        <f t="shared" ca="1" si="35"/>
        <v>0.01</v>
      </c>
      <c r="B75" s="304">
        <f t="shared" ca="1" si="36"/>
        <v>0.71000000000000041</v>
      </c>
      <c r="D75" s="306">
        <f t="shared" ca="1" si="37"/>
        <v>14.041424322016548</v>
      </c>
      <c r="E75" s="307">
        <f t="shared" ca="1" si="38"/>
        <v>62.247468974333245</v>
      </c>
      <c r="F75" s="304">
        <f t="shared" ca="1" si="39"/>
        <v>63.811511427809783</v>
      </c>
      <c r="G75" s="306">
        <f t="shared" ca="1" si="40"/>
        <v>8.5949935880001043</v>
      </c>
      <c r="H75" s="307">
        <f t="shared" ca="1" si="41"/>
        <v>44.009496893202197</v>
      </c>
      <c r="I75" s="304">
        <f t="shared" ca="1" si="42"/>
        <v>44.84093812099092</v>
      </c>
      <c r="J75" s="306">
        <f t="shared" ca="1" si="43"/>
        <v>2.8268068213028248</v>
      </c>
      <c r="K75" s="307">
        <f t="shared" ca="1" si="44"/>
        <v>15.30153286175951</v>
      </c>
      <c r="L75" s="304">
        <f t="shared" ca="1" si="29"/>
        <v>15.560454515356238</v>
      </c>
      <c r="M75" s="306">
        <f t="shared" ca="1" si="45"/>
        <v>1.3779253937872622</v>
      </c>
      <c r="N75" s="304">
        <f t="shared" ca="1" si="46"/>
        <v>78.949309547912108</v>
      </c>
      <c r="P75" s="310">
        <f t="shared" ca="1" si="47"/>
        <v>5</v>
      </c>
      <c r="Q75" s="304">
        <f t="shared" ca="1" si="48"/>
        <v>1027.1666666666667</v>
      </c>
      <c r="R75" s="306">
        <f t="shared" ca="1" si="49"/>
        <v>0.51454092063397405</v>
      </c>
      <c r="S75" s="307">
        <f t="shared" ca="1" si="50"/>
        <v>13.917314440234943</v>
      </c>
      <c r="T75" s="304">
        <f t="shared" ca="1" si="30"/>
        <v>136.5288546587048</v>
      </c>
      <c r="U75" s="311">
        <f t="shared" ca="1" si="31"/>
        <v>0</v>
      </c>
      <c r="V75" s="306">
        <f t="shared" ca="1" si="32"/>
        <v>1.2231269952166468</v>
      </c>
      <c r="W75" s="304">
        <f t="shared" ca="1" si="33"/>
        <v>5.6159220876777241</v>
      </c>
      <c r="Y75" s="314" t="str">
        <f t="shared" ca="1" si="51"/>
        <v/>
      </c>
      <c r="Z75" s="315" t="str">
        <f t="shared" ca="1" si="52"/>
        <v/>
      </c>
      <c r="AA75" s="316" t="str">
        <f t="shared" ca="1" si="53"/>
        <v/>
      </c>
      <c r="AC75" s="310" t="e">
        <f t="shared" ca="1" si="54"/>
        <v>#N/A</v>
      </c>
      <c r="AD75" s="323" t="e">
        <f t="shared" ca="1" si="55"/>
        <v>#N/A</v>
      </c>
      <c r="AE75" s="324">
        <f t="shared" ca="1" si="34"/>
        <v>15.30153286175951</v>
      </c>
      <c r="AG75" s="306">
        <f t="shared" ca="1" si="56"/>
        <v>63.783919531914684</v>
      </c>
      <c r="AH75" s="304">
        <f t="shared" ca="1" si="57"/>
        <v>73.412808364602952</v>
      </c>
    </row>
    <row r="76" spans="1:34" x14ac:dyDescent="0.25">
      <c r="A76" s="347">
        <f t="shared" ca="1" si="35"/>
        <v>0.01</v>
      </c>
      <c r="B76" s="304">
        <f t="shared" ca="1" si="36"/>
        <v>0.72000000000000042</v>
      </c>
      <c r="D76" s="306">
        <f t="shared" ca="1" si="37"/>
        <v>14.068842023923217</v>
      </c>
      <c r="E76" s="307">
        <f t="shared" ca="1" si="38"/>
        <v>62.22759409515379</v>
      </c>
      <c r="F76" s="304">
        <f t="shared" ca="1" si="39"/>
        <v>63.798164415328806</v>
      </c>
      <c r="G76" s="306">
        <f t="shared" ca="1" si="40"/>
        <v>8.7356820082393369</v>
      </c>
      <c r="H76" s="307">
        <f t="shared" ca="1" si="41"/>
        <v>44.631772834153736</v>
      </c>
      <c r="I76" s="304">
        <f t="shared" ca="1" si="42"/>
        <v>45.478646488968643</v>
      </c>
      <c r="J76" s="306">
        <f t="shared" ca="1" si="43"/>
        <v>2.9134601992840219</v>
      </c>
      <c r="K76" s="307">
        <f t="shared" ca="1" si="44"/>
        <v>15.74473921039629</v>
      </c>
      <c r="L76" s="304">
        <f t="shared" ca="1" si="29"/>
        <v>16.012028701454494</v>
      </c>
      <c r="M76" s="306">
        <f t="shared" ca="1" si="45"/>
        <v>1.3775119348767699</v>
      </c>
      <c r="N76" s="304">
        <f t="shared" ca="1" si="46"/>
        <v>78.925620097338822</v>
      </c>
      <c r="P76" s="310">
        <f t="shared" ca="1" si="47"/>
        <v>6</v>
      </c>
      <c r="Q76" s="304">
        <f t="shared" ca="1" si="48"/>
        <v>1026.7491228070176</v>
      </c>
      <c r="R76" s="306">
        <f t="shared" ca="1" si="49"/>
        <v>0.51433175944434339</v>
      </c>
      <c r="S76" s="307">
        <f t="shared" ca="1" si="50"/>
        <v>13.912171122640499</v>
      </c>
      <c r="T76" s="304">
        <f t="shared" ca="1" si="30"/>
        <v>136.4783987131033</v>
      </c>
      <c r="U76" s="311">
        <f t="shared" ca="1" si="31"/>
        <v>0</v>
      </c>
      <c r="V76" s="306">
        <f t="shared" ca="1" si="32"/>
        <v>1.2230727866203299</v>
      </c>
      <c r="W76" s="304">
        <f t="shared" ca="1" si="33"/>
        <v>5.7765363138601904</v>
      </c>
      <c r="Y76" s="314" t="str">
        <f t="shared" ca="1" si="51"/>
        <v/>
      </c>
      <c r="Z76" s="315" t="str">
        <f t="shared" ca="1" si="52"/>
        <v/>
      </c>
      <c r="AA76" s="316" t="str">
        <f t="shared" ca="1" si="53"/>
        <v/>
      </c>
      <c r="AC76" s="310" t="e">
        <f t="shared" ca="1" si="54"/>
        <v>#N/A</v>
      </c>
      <c r="AD76" s="323" t="e">
        <f t="shared" ca="1" si="55"/>
        <v>#N/A</v>
      </c>
      <c r="AE76" s="324">
        <f t="shared" ca="1" si="34"/>
        <v>15.74473921039629</v>
      </c>
      <c r="AG76" s="306">
        <f t="shared" ca="1" si="56"/>
        <v>63.770448072979192</v>
      </c>
      <c r="AH76" s="304">
        <f t="shared" ca="1" si="57"/>
        <v>73.398550931964891</v>
      </c>
    </row>
    <row r="77" spans="1:34" x14ac:dyDescent="0.25">
      <c r="A77" s="347">
        <f t="shared" ca="1" si="35"/>
        <v>0.01</v>
      </c>
      <c r="B77" s="304">
        <f t="shared" ca="1" si="36"/>
        <v>0.73000000000000043</v>
      </c>
      <c r="D77" s="306">
        <f t="shared" ca="1" si="37"/>
        <v>14.094688434193197</v>
      </c>
      <c r="E77" s="307">
        <f t="shared" ca="1" si="38"/>
        <v>62.201656533486045</v>
      </c>
      <c r="F77" s="304">
        <f t="shared" ca="1" si="39"/>
        <v>63.778572558240484</v>
      </c>
      <c r="G77" s="306">
        <f t="shared" ca="1" si="40"/>
        <v>8.8766288925812695</v>
      </c>
      <c r="H77" s="307">
        <f t="shared" ca="1" si="41"/>
        <v>45.253789399488596</v>
      </c>
      <c r="I77" s="304">
        <f t="shared" ca="1" si="42"/>
        <v>46.116157640352853</v>
      </c>
      <c r="J77" s="306">
        <f t="shared" ca="1" si="43"/>
        <v>3.0015217537881251</v>
      </c>
      <c r="K77" s="307">
        <f t="shared" ca="1" si="44"/>
        <v>16.1941670215645</v>
      </c>
      <c r="L77" s="304">
        <f t="shared" ca="1" si="29"/>
        <v>16.46997809229844</v>
      </c>
      <c r="M77" s="306">
        <f t="shared" ca="1" si="45"/>
        <v>1.37710332845287</v>
      </c>
      <c r="N77" s="304">
        <f t="shared" ca="1" si="46"/>
        <v>78.902208673767419</v>
      </c>
      <c r="P77" s="310">
        <f t="shared" ca="1" si="47"/>
        <v>6</v>
      </c>
      <c r="Q77" s="304">
        <f t="shared" ca="1" si="48"/>
        <v>1026.2473684210527</v>
      </c>
      <c r="R77" s="306">
        <f t="shared" ca="1" si="49"/>
        <v>0.51408041448537556</v>
      </c>
      <c r="S77" s="307">
        <f t="shared" ca="1" si="50"/>
        <v>13.907030318495645</v>
      </c>
      <c r="T77" s="304">
        <f t="shared" ca="1" si="30"/>
        <v>136.42796742444227</v>
      </c>
      <c r="U77" s="311">
        <f t="shared" ca="1" si="31"/>
        <v>0</v>
      </c>
      <c r="V77" s="306">
        <f t="shared" ca="1" si="32"/>
        <v>1.2230178195279402</v>
      </c>
      <c r="W77" s="304">
        <f t="shared" ca="1" si="33"/>
        <v>5.9393532696589588</v>
      </c>
      <c r="Y77" s="314" t="str">
        <f t="shared" ca="1" si="51"/>
        <v/>
      </c>
      <c r="Z77" s="315" t="str">
        <f t="shared" ca="1" si="52"/>
        <v/>
      </c>
      <c r="AA77" s="316" t="str">
        <f t="shared" ca="1" si="53"/>
        <v/>
      </c>
      <c r="AC77" s="310" t="e">
        <f t="shared" ca="1" si="54"/>
        <v>#N/A</v>
      </c>
      <c r="AD77" s="323" t="e">
        <f t="shared" ca="1" si="55"/>
        <v>#N/A</v>
      </c>
      <c r="AE77" s="324">
        <f t="shared" ca="1" si="34"/>
        <v>16.1941670215645</v>
      </c>
      <c r="AG77" s="306">
        <f t="shared" ca="1" si="56"/>
        <v>63.750730162565013</v>
      </c>
      <c r="AH77" s="304">
        <f t="shared" ca="1" si="57"/>
        <v>73.37805474904431</v>
      </c>
    </row>
    <row r="78" spans="1:34" x14ac:dyDescent="0.25">
      <c r="A78" s="347">
        <f t="shared" ca="1" si="35"/>
        <v>0.01</v>
      </c>
      <c r="B78" s="304">
        <f t="shared" ca="1" si="36"/>
        <v>0.74000000000000044</v>
      </c>
      <c r="D78" s="306">
        <f t="shared" ca="1" si="37"/>
        <v>14.120130522616865</v>
      </c>
      <c r="E78" s="307">
        <f t="shared" ca="1" si="38"/>
        <v>62.17559506051181</v>
      </c>
      <c r="F78" s="304">
        <f t="shared" ca="1" si="39"/>
        <v>63.758785332724749</v>
      </c>
      <c r="G78" s="306">
        <f t="shared" ca="1" si="40"/>
        <v>9.017830197807438</v>
      </c>
      <c r="H78" s="307">
        <f t="shared" ca="1" si="41"/>
        <v>45.875545350093716</v>
      </c>
      <c r="I78" s="304">
        <f t="shared" ca="1" si="42"/>
        <v>46.753469632156644</v>
      </c>
      <c r="J78" s="306">
        <f t="shared" ca="1" si="43"/>
        <v>3.0909940492400687</v>
      </c>
      <c r="K78" s="307">
        <f t="shared" ca="1" si="44"/>
        <v>16.64981369531241</v>
      </c>
      <c r="L78" s="304">
        <f t="shared" ca="1" si="29"/>
        <v>16.934300703042044</v>
      </c>
      <c r="M78" s="306">
        <f t="shared" ca="1" si="45"/>
        <v>1.3766994505227916</v>
      </c>
      <c r="N78" s="304">
        <f t="shared" ca="1" si="46"/>
        <v>78.879068172935462</v>
      </c>
      <c r="P78" s="310">
        <f t="shared" ca="1" si="47"/>
        <v>6</v>
      </c>
      <c r="Q78" s="304">
        <f t="shared" ca="1" si="48"/>
        <v>1025.7456140350878</v>
      </c>
      <c r="R78" s="306">
        <f t="shared" ca="1" si="49"/>
        <v>0.51382906952640761</v>
      </c>
      <c r="S78" s="307">
        <f t="shared" ca="1" si="50"/>
        <v>13.901892027800381</v>
      </c>
      <c r="T78" s="304">
        <f t="shared" ca="1" si="30"/>
        <v>136.37756079272174</v>
      </c>
      <c r="U78" s="311">
        <f t="shared" ca="1" si="31"/>
        <v>0</v>
      </c>
      <c r="V78" s="306">
        <f t="shared" ca="1" si="32"/>
        <v>1.2229620943597863</v>
      </c>
      <c r="W78" s="304">
        <f t="shared" ca="1" si="33"/>
        <v>6.1043697403050787</v>
      </c>
      <c r="Y78" s="314" t="str">
        <f t="shared" ca="1" si="51"/>
        <v/>
      </c>
      <c r="Z78" s="315" t="str">
        <f t="shared" ca="1" si="52"/>
        <v/>
      </c>
      <c r="AA78" s="316" t="str">
        <f t="shared" ca="1" si="53"/>
        <v/>
      </c>
      <c r="AC78" s="310" t="e">
        <f t="shared" ca="1" si="54"/>
        <v>#N/A</v>
      </c>
      <c r="AD78" s="323" t="e">
        <f t="shared" ca="1" si="55"/>
        <v>#N/A</v>
      </c>
      <c r="AE78" s="324">
        <f t="shared" ca="1" si="34"/>
        <v>16.64981369531241</v>
      </c>
      <c r="AG78" s="306">
        <f t="shared" ca="1" si="56"/>
        <v>63.730817865204017</v>
      </c>
      <c r="AH78" s="304">
        <f t="shared" ca="1" si="57"/>
        <v>73.357371696317742</v>
      </c>
    </row>
    <row r="79" spans="1:34" x14ac:dyDescent="0.25">
      <c r="A79" s="347">
        <f t="shared" ca="1" si="35"/>
        <v>0.01</v>
      </c>
      <c r="B79" s="304">
        <f t="shared" ca="1" si="36"/>
        <v>0.75000000000000044</v>
      </c>
      <c r="D79" s="306">
        <f t="shared" ca="1" si="37"/>
        <v>14.145177370117679</v>
      </c>
      <c r="E79" s="307">
        <f t="shared" ca="1" si="38"/>
        <v>62.149408382487465</v>
      </c>
      <c r="F79" s="304">
        <f t="shared" ca="1" si="39"/>
        <v>63.738802978447069</v>
      </c>
      <c r="G79" s="306">
        <f t="shared" ca="1" si="40"/>
        <v>9.159281971508614</v>
      </c>
      <c r="H79" s="307">
        <f t="shared" ca="1" si="41"/>
        <v>46.497039433918594</v>
      </c>
      <c r="I79" s="304">
        <f t="shared" ca="1" si="42"/>
        <v>47.390580523485717</v>
      </c>
      <c r="J79" s="306">
        <f t="shared" ca="1" si="43"/>
        <v>3.1818796100866491</v>
      </c>
      <c r="K79" s="307">
        <f t="shared" ca="1" si="44"/>
        <v>17.111676619232473</v>
      </c>
      <c r="L79" s="304">
        <f t="shared" ca="1" si="29"/>
        <v>17.404994529567436</v>
      </c>
      <c r="M79" s="306">
        <f t="shared" ca="1" si="45"/>
        <v>1.3763001818853402</v>
      </c>
      <c r="N79" s="304">
        <f t="shared" ca="1" si="46"/>
        <v>78.856191765117543</v>
      </c>
      <c r="P79" s="310">
        <f t="shared" ca="1" si="47"/>
        <v>6</v>
      </c>
      <c r="Q79" s="304">
        <f t="shared" ca="1" si="48"/>
        <v>1025.2438596491227</v>
      </c>
      <c r="R79" s="306">
        <f t="shared" ca="1" si="49"/>
        <v>0.51357772456743966</v>
      </c>
      <c r="S79" s="307">
        <f t="shared" ca="1" si="50"/>
        <v>13.896756250554706</v>
      </c>
      <c r="T79" s="304">
        <f t="shared" ca="1" si="30"/>
        <v>136.32717881794167</v>
      </c>
      <c r="U79" s="311">
        <f t="shared" ca="1" si="31"/>
        <v>0</v>
      </c>
      <c r="V79" s="306">
        <f t="shared" ca="1" si="32"/>
        <v>1.2229056115390471</v>
      </c>
      <c r="W79" s="304">
        <f t="shared" ca="1" si="33"/>
        <v>6.2715824770449515</v>
      </c>
      <c r="Y79" s="314" t="str">
        <f t="shared" ca="1" si="51"/>
        <v/>
      </c>
      <c r="Z79" s="315" t="str">
        <f t="shared" ca="1" si="52"/>
        <v/>
      </c>
      <c r="AA79" s="316" t="str">
        <f t="shared" ca="1" si="53"/>
        <v/>
      </c>
      <c r="AC79" s="310" t="e">
        <f t="shared" ca="1" si="54"/>
        <v>#N/A</v>
      </c>
      <c r="AD79" s="323" t="e">
        <f t="shared" ca="1" si="55"/>
        <v>#N/A</v>
      </c>
      <c r="AE79" s="324">
        <f t="shared" ca="1" si="34"/>
        <v>17.111676619232473</v>
      </c>
      <c r="AG79" s="306">
        <f t="shared" ca="1" si="56"/>
        <v>63.710711393388564</v>
      </c>
      <c r="AH79" s="304">
        <f t="shared" ca="1" si="57"/>
        <v>73.336501809056159</v>
      </c>
    </row>
    <row r="80" spans="1:34" x14ac:dyDescent="0.25">
      <c r="A80" s="347">
        <f t="shared" ca="1" si="35"/>
        <v>0.01</v>
      </c>
      <c r="B80" s="304">
        <f t="shared" ca="1" si="36"/>
        <v>0.76000000000000045</v>
      </c>
      <c r="D80" s="306">
        <f t="shared" ca="1" si="37"/>
        <v>14.169837705108451</v>
      </c>
      <c r="E80" s="307">
        <f t="shared" ca="1" si="38"/>
        <v>62.123095257480671</v>
      </c>
      <c r="F80" s="304">
        <f t="shared" ca="1" si="39"/>
        <v>63.718625730308489</v>
      </c>
      <c r="G80" s="306">
        <f t="shared" ca="1" si="40"/>
        <v>9.3009803485596994</v>
      </c>
      <c r="H80" s="307">
        <f t="shared" ca="1" si="41"/>
        <v>47.1182703864934</v>
      </c>
      <c r="I80" s="304">
        <f t="shared" ca="1" si="42"/>
        <v>48.027488375502159</v>
      </c>
      <c r="J80" s="306">
        <f t="shared" ca="1" si="43"/>
        <v>3.2741809216869906</v>
      </c>
      <c r="K80" s="307">
        <f t="shared" ca="1" si="44"/>
        <v>17.579753168334534</v>
      </c>
      <c r="L80" s="304">
        <f t="shared" ca="1" si="29"/>
        <v>17.882057548489971</v>
      </c>
      <c r="M80" s="306">
        <f t="shared" ca="1" si="45"/>
        <v>1.3759054078840813</v>
      </c>
      <c r="N80" s="304">
        <f t="shared" ca="1" si="46"/>
        <v>78.833572880983922</v>
      </c>
      <c r="P80" s="310">
        <f t="shared" ca="1" si="47"/>
        <v>6</v>
      </c>
      <c r="Q80" s="304">
        <f t="shared" ca="1" si="48"/>
        <v>1024.7421052631578</v>
      </c>
      <c r="R80" s="306">
        <f t="shared" ca="1" si="49"/>
        <v>0.51332637960847183</v>
      </c>
      <c r="S80" s="307">
        <f t="shared" ca="1" si="50"/>
        <v>13.891622986758621</v>
      </c>
      <c r="T80" s="304">
        <f t="shared" ca="1" si="30"/>
        <v>136.27682150010207</v>
      </c>
      <c r="U80" s="311">
        <f t="shared" ca="1" si="31"/>
        <v>0</v>
      </c>
      <c r="V80" s="306">
        <f t="shared" ca="1" si="32"/>
        <v>1.2228483714917833</v>
      </c>
      <c r="W80" s="304">
        <f t="shared" ca="1" si="33"/>
        <v>6.4409881972215972</v>
      </c>
      <c r="Y80" s="314" t="str">
        <f t="shared" ca="1" si="51"/>
        <v/>
      </c>
      <c r="Z80" s="315" t="str">
        <f t="shared" ca="1" si="52"/>
        <v/>
      </c>
      <c r="AA80" s="316" t="str">
        <f t="shared" ca="1" si="53"/>
        <v/>
      </c>
      <c r="AC80" s="310" t="e">
        <f t="shared" ca="1" si="54"/>
        <v>#N/A</v>
      </c>
      <c r="AD80" s="323" t="e">
        <f t="shared" ca="1" si="55"/>
        <v>#N/A</v>
      </c>
      <c r="AE80" s="324">
        <f t="shared" ca="1" si="34"/>
        <v>17.579753168334534</v>
      </c>
      <c r="AG80" s="306">
        <f t="shared" ca="1" si="56"/>
        <v>63.690410955821648</v>
      </c>
      <c r="AH80" s="304">
        <f t="shared" ca="1" si="57"/>
        <v>73.315445125231975</v>
      </c>
    </row>
    <row r="81" spans="1:34" x14ac:dyDescent="0.25">
      <c r="A81" s="347">
        <f t="shared" ca="1" si="35"/>
        <v>0.01</v>
      </c>
      <c r="B81" s="304">
        <f t="shared" ca="1" si="36"/>
        <v>0.77000000000000046</v>
      </c>
      <c r="D81" s="306">
        <f t="shared" ca="1" si="37"/>
        <v>14.194119921709252</v>
      </c>
      <c r="E81" s="307">
        <f t="shared" ca="1" si="38"/>
        <v>62.096654492929488</v>
      </c>
      <c r="F81" s="304">
        <f t="shared" ca="1" si="39"/>
        <v>63.698253818814557</v>
      </c>
      <c r="G81" s="306">
        <f t="shared" ca="1" si="40"/>
        <v>9.4429215477767912</v>
      </c>
      <c r="H81" s="307">
        <f t="shared" ca="1" si="41"/>
        <v>47.739236931422695</v>
      </c>
      <c r="I81" s="304">
        <f t="shared" ca="1" si="42"/>
        <v>48.664191251391195</v>
      </c>
      <c r="J81" s="306">
        <f t="shared" ca="1" si="43"/>
        <v>3.3679004311686729</v>
      </c>
      <c r="K81" s="307">
        <f t="shared" ca="1" si="44"/>
        <v>18.054040704924116</v>
      </c>
      <c r="L81" s="304">
        <f t="shared" ca="1" si="29"/>
        <v>18.36548771716458</v>
      </c>
      <c r="M81" s="306">
        <f t="shared" ca="1" si="45"/>
        <v>1.3755150181763298</v>
      </c>
      <c r="N81" s="304">
        <f t="shared" ca="1" si="46"/>
        <v>78.811205198364419</v>
      </c>
      <c r="P81" s="310">
        <f t="shared" ca="1" si="47"/>
        <v>6</v>
      </c>
      <c r="Q81" s="304">
        <f t="shared" ca="1" si="48"/>
        <v>1024.2403508771929</v>
      </c>
      <c r="R81" s="306">
        <f t="shared" ca="1" si="49"/>
        <v>0.51307503464950388</v>
      </c>
      <c r="S81" s="307">
        <f t="shared" ca="1" si="50"/>
        <v>13.886492236412126</v>
      </c>
      <c r="T81" s="304">
        <f t="shared" ca="1" si="30"/>
        <v>136.22648883920297</v>
      </c>
      <c r="U81" s="311">
        <f t="shared" ca="1" si="31"/>
        <v>0</v>
      </c>
      <c r="V81" s="306">
        <f t="shared" ca="1" si="32"/>
        <v>1.2227903746469504</v>
      </c>
      <c r="W81" s="304">
        <f t="shared" ca="1" si="33"/>
        <v>6.6125835843564618</v>
      </c>
      <c r="Y81" s="314" t="str">
        <f t="shared" ca="1" si="51"/>
        <v/>
      </c>
      <c r="Z81" s="315" t="str">
        <f t="shared" ca="1" si="52"/>
        <v/>
      </c>
      <c r="AA81" s="316" t="str">
        <f t="shared" ca="1" si="53"/>
        <v/>
      </c>
      <c r="AC81" s="310" t="e">
        <f t="shared" ca="1" si="54"/>
        <v>#N/A</v>
      </c>
      <c r="AD81" s="323" t="e">
        <f t="shared" ca="1" si="55"/>
        <v>#N/A</v>
      </c>
      <c r="AE81" s="324">
        <f t="shared" ca="1" si="34"/>
        <v>18.054040704924116</v>
      </c>
      <c r="AG81" s="306">
        <f t="shared" ca="1" si="56"/>
        <v>63.669916757737539</v>
      </c>
      <c r="AH81" s="304">
        <f t="shared" ca="1" si="57"/>
        <v>73.294201685518075</v>
      </c>
    </row>
    <row r="82" spans="1:34" x14ac:dyDescent="0.25">
      <c r="A82" s="347">
        <f t="shared" ca="1" si="35"/>
        <v>0.01</v>
      </c>
      <c r="B82" s="304">
        <f t="shared" ca="1" si="36"/>
        <v>0.78000000000000047</v>
      </c>
      <c r="D82" s="306">
        <f t="shared" ca="1" si="37"/>
        <v>14.218032096798069</v>
      </c>
      <c r="E82" s="307">
        <f t="shared" ca="1" si="38"/>
        <v>62.07008494335318</v>
      </c>
      <c r="F82" s="304">
        <f t="shared" ca="1" si="39"/>
        <v>63.677687470421368</v>
      </c>
      <c r="G82" s="306">
        <f t="shared" ca="1" si="40"/>
        <v>9.585101868744772</v>
      </c>
      <c r="H82" s="307">
        <f t="shared" ca="1" si="41"/>
        <v>48.359937780856228</v>
      </c>
      <c r="I82" s="304">
        <f t="shared" ca="1" si="42"/>
        <v>49.300687216330971</v>
      </c>
      <c r="J82" s="306">
        <f t="shared" ca="1" si="43"/>
        <v>3.4630405482512807</v>
      </c>
      <c r="K82" s="307">
        <f t="shared" ca="1" si="44"/>
        <v>18.534536578485511</v>
      </c>
      <c r="L82" s="304">
        <f t="shared" ca="1" si="29"/>
        <v>18.855282973693338</v>
      </c>
      <c r="M82" s="306">
        <f t="shared" ca="1" si="45"/>
        <v>1.3751289065167367</v>
      </c>
      <c r="N82" s="304">
        <f t="shared" ca="1" si="46"/>
        <v>78.789082629848934</v>
      </c>
      <c r="P82" s="310">
        <f t="shared" ca="1" si="47"/>
        <v>6</v>
      </c>
      <c r="Q82" s="304">
        <f t="shared" ca="1" si="48"/>
        <v>1023.738596491228</v>
      </c>
      <c r="R82" s="306">
        <f t="shared" ca="1" si="49"/>
        <v>0.51282368969053604</v>
      </c>
      <c r="S82" s="307">
        <f t="shared" ca="1" si="50"/>
        <v>13.881363999515221</v>
      </c>
      <c r="T82" s="304">
        <f t="shared" ca="1" si="30"/>
        <v>136.17618083524434</v>
      </c>
      <c r="U82" s="311">
        <f t="shared" ca="1" si="31"/>
        <v>0</v>
      </c>
      <c r="V82" s="306">
        <f t="shared" ca="1" si="32"/>
        <v>1.2227316214364088</v>
      </c>
      <c r="W82" s="304">
        <f t="shared" ca="1" si="33"/>
        <v>6.7863652882317895</v>
      </c>
      <c r="Y82" s="314" t="str">
        <f t="shared" ca="1" si="51"/>
        <v/>
      </c>
      <c r="Z82" s="315" t="str">
        <f t="shared" ca="1" si="52"/>
        <v/>
      </c>
      <c r="AA82" s="316" t="str">
        <f t="shared" ca="1" si="53"/>
        <v/>
      </c>
      <c r="AC82" s="310" t="e">
        <f t="shared" ca="1" si="54"/>
        <v>#N/A</v>
      </c>
      <c r="AD82" s="323" t="e">
        <f t="shared" ca="1" si="55"/>
        <v>#N/A</v>
      </c>
      <c r="AE82" s="324">
        <f t="shared" ca="1" si="34"/>
        <v>18.534536578485511</v>
      </c>
      <c r="AG82" s="306">
        <f t="shared" ca="1" si="56"/>
        <v>63.649229001202343</v>
      </c>
      <c r="AH82" s="304">
        <f t="shared" ca="1" si="57"/>
        <v>73.272771533286829</v>
      </c>
    </row>
    <row r="83" spans="1:34" x14ac:dyDescent="0.25">
      <c r="A83" s="347">
        <f t="shared" ca="1" si="35"/>
        <v>0.01</v>
      </c>
      <c r="B83" s="304">
        <f t="shared" ca="1" si="36"/>
        <v>0.79000000000000048</v>
      </c>
      <c r="D83" s="306">
        <f t="shared" ca="1" si="37"/>
        <v>14.241582005983354</v>
      </c>
      <c r="E83" s="307">
        <f t="shared" ca="1" si="38"/>
        <v>62.04338550820313</v>
      </c>
      <c r="F83" s="304">
        <f t="shared" ca="1" si="39"/>
        <v>63.656926907860225</v>
      </c>
      <c r="G83" s="306">
        <f t="shared" ca="1" si="40"/>
        <v>9.7275176888046051</v>
      </c>
      <c r="H83" s="307">
        <f t="shared" ca="1" si="41"/>
        <v>48.980371635938262</v>
      </c>
      <c r="I83" s="304">
        <f t="shared" ca="1" si="42"/>
        <v>49.936974337464939</v>
      </c>
      <c r="J83" s="306">
        <f t="shared" ca="1" si="43"/>
        <v>3.5596036460390277</v>
      </c>
      <c r="K83" s="307">
        <f t="shared" ca="1" si="44"/>
        <v>19.021238125569482</v>
      </c>
      <c r="L83" s="304">
        <f t="shared" ca="1" si="29"/>
        <v>19.351441236934068</v>
      </c>
      <c r="M83" s="306">
        <f t="shared" ca="1" si="45"/>
        <v>1.3747469705543787</v>
      </c>
      <c r="N83" s="304">
        <f t="shared" ca="1" si="46"/>
        <v>78.767199311161562</v>
      </c>
      <c r="P83" s="310">
        <f t="shared" ca="1" si="47"/>
        <v>6</v>
      </c>
      <c r="Q83" s="304">
        <f t="shared" ca="1" si="48"/>
        <v>1023.2368421052631</v>
      </c>
      <c r="R83" s="306">
        <f t="shared" ca="1" si="49"/>
        <v>0.5125723447315681</v>
      </c>
      <c r="S83" s="307">
        <f t="shared" ca="1" si="50"/>
        <v>13.876238276067905</v>
      </c>
      <c r="T83" s="304">
        <f t="shared" ca="1" si="30"/>
        <v>136.12589748822614</v>
      </c>
      <c r="U83" s="311">
        <f t="shared" ca="1" si="31"/>
        <v>0</v>
      </c>
      <c r="V83" s="306">
        <f t="shared" ca="1" si="32"/>
        <v>1.222672112294936</v>
      </c>
      <c r="W83" s="304">
        <f t="shared" ca="1" si="33"/>
        <v>6.9623299249735791</v>
      </c>
      <c r="Y83" s="314" t="str">
        <f t="shared" ca="1" si="51"/>
        <v/>
      </c>
      <c r="Z83" s="315" t="str">
        <f t="shared" ca="1" si="52"/>
        <v/>
      </c>
      <c r="AA83" s="316" t="str">
        <f t="shared" ca="1" si="53"/>
        <v/>
      </c>
      <c r="AC83" s="310" t="e">
        <f t="shared" ca="1" si="54"/>
        <v>#N/A</v>
      </c>
      <c r="AD83" s="323" t="e">
        <f t="shared" ca="1" si="55"/>
        <v>#N/A</v>
      </c>
      <c r="AE83" s="324">
        <f t="shared" ca="1" si="34"/>
        <v>19.021238125569482</v>
      </c>
      <c r="AG83" s="306">
        <f t="shared" ca="1" si="56"/>
        <v>63.628347885396224</v>
      </c>
      <c r="AH83" s="304">
        <f t="shared" ca="1" si="57"/>
        <v>73.251154714609143</v>
      </c>
    </row>
    <row r="84" spans="1:34" x14ac:dyDescent="0.25">
      <c r="A84" s="347">
        <f t="shared" ca="1" si="35"/>
        <v>0.01</v>
      </c>
      <c r="B84" s="304">
        <f t="shared" ca="1" si="36"/>
        <v>0.80000000000000049</v>
      </c>
      <c r="D84" s="306">
        <f t="shared" ca="1" si="37"/>
        <v>14.26477713857938</v>
      </c>
      <c r="E84" s="307">
        <f t="shared" ca="1" si="38"/>
        <v>62.016555129843709</v>
      </c>
      <c r="F84" s="304">
        <f t="shared" ca="1" si="39"/>
        <v>63.635972350442486</v>
      </c>
      <c r="G84" s="306">
        <f t="shared" ca="1" si="40"/>
        <v>9.8701654601903996</v>
      </c>
      <c r="H84" s="307">
        <f t="shared" ca="1" si="41"/>
        <v>49.600537187236696</v>
      </c>
      <c r="I84" s="304">
        <f t="shared" ca="1" si="42"/>
        <v>50.573050683876943</v>
      </c>
      <c r="J84" s="306">
        <f t="shared" ca="1" si="43"/>
        <v>3.6575920617840025</v>
      </c>
      <c r="K84" s="307">
        <f t="shared" ca="1" si="44"/>
        <v>19.514142669685356</v>
      </c>
      <c r="L84" s="304">
        <f t="shared" ca="1" si="29"/>
        <v>19.853960406509831</v>
      </c>
      <c r="M84" s="306">
        <f t="shared" ca="1" si="45"/>
        <v>1.3743691116423433</v>
      </c>
      <c r="N84" s="304">
        <f t="shared" ca="1" si="46"/>
        <v>78.745549590250533</v>
      </c>
      <c r="P84" s="310">
        <f t="shared" ca="1" si="47"/>
        <v>6</v>
      </c>
      <c r="Q84" s="304">
        <f t="shared" ca="1" si="48"/>
        <v>1022.7350877192982</v>
      </c>
      <c r="R84" s="306">
        <f t="shared" ca="1" si="49"/>
        <v>0.51232099977260026</v>
      </c>
      <c r="S84" s="307">
        <f t="shared" ca="1" si="50"/>
        <v>13.87111506607018</v>
      </c>
      <c r="T84" s="304">
        <f t="shared" ca="1" si="30"/>
        <v>136.07563879814847</v>
      </c>
      <c r="U84" s="311">
        <f t="shared" ca="1" si="31"/>
        <v>0</v>
      </c>
      <c r="V84" s="306">
        <f t="shared" ca="1" si="32"/>
        <v>1.2226118476602372</v>
      </c>
      <c r="W84" s="304">
        <f t="shared" ca="1" si="33"/>
        <v>7.1404740771351634</v>
      </c>
      <c r="Y84" s="314" t="str">
        <f t="shared" ca="1" si="51"/>
        <v/>
      </c>
      <c r="Z84" s="315" t="str">
        <f t="shared" ca="1" si="52"/>
        <v/>
      </c>
      <c r="AA84" s="316" t="str">
        <f t="shared" ca="1" si="53"/>
        <v/>
      </c>
      <c r="AC84" s="310" t="e">
        <f t="shared" ca="1" si="54"/>
        <v>#N/A</v>
      </c>
      <c r="AD84" s="323" t="e">
        <f t="shared" ca="1" si="55"/>
        <v>#N/A</v>
      </c>
      <c r="AE84" s="324">
        <f t="shared" ca="1" si="34"/>
        <v>19.514142669685356</v>
      </c>
      <c r="AG84" s="306">
        <f t="shared" ca="1" si="56"/>
        <v>63.607273606878145</v>
      </c>
      <c r="AH84" s="304">
        <f t="shared" ca="1" si="57"/>
        <v>73.229351278253276</v>
      </c>
    </row>
    <row r="85" spans="1:34" x14ac:dyDescent="0.25">
      <c r="A85" s="347">
        <f t="shared" ca="1" si="35"/>
        <v>0.01</v>
      </c>
      <c r="B85" s="304">
        <f t="shared" ca="1" si="36"/>
        <v>0.8100000000000005</v>
      </c>
      <c r="D85" s="306">
        <f t="shared" ca="1" si="37"/>
        <v>14.28762471165884</v>
      </c>
      <c r="E85" s="307">
        <f t="shared" ca="1" si="38"/>
        <v>61.989592791653692</v>
      </c>
      <c r="F85" s="304">
        <f t="shared" ca="1" si="39"/>
        <v>63.614824014346276</v>
      </c>
      <c r="G85" s="306">
        <f t="shared" ca="1" si="40"/>
        <v>10.013041707306988</v>
      </c>
      <c r="H85" s="307">
        <f t="shared" ca="1" si="41"/>
        <v>50.220433115153234</v>
      </c>
      <c r="I85" s="304">
        <f t="shared" ca="1" si="42"/>
        <v>51.20891432656866</v>
      </c>
      <c r="J85" s="306">
        <f t="shared" ca="1" si="43"/>
        <v>3.7570080976214895</v>
      </c>
      <c r="K85" s="307">
        <f t="shared" ca="1" si="44"/>
        <v>20.013247521197304</v>
      </c>
      <c r="L85" s="304">
        <f t="shared" ca="1" si="29"/>
        <v>20.362838362819254</v>
      </c>
      <c r="M85" s="306">
        <f t="shared" ca="1" si="45"/>
        <v>1.3739952346588973</v>
      </c>
      <c r="N85" s="304">
        <f t="shared" ca="1" si="46"/>
        <v>78.724128017041991</v>
      </c>
      <c r="P85" s="310">
        <f t="shared" ca="1" si="47"/>
        <v>6</v>
      </c>
      <c r="Q85" s="304">
        <f t="shared" ca="1" si="48"/>
        <v>1022.2333333333333</v>
      </c>
      <c r="R85" s="306">
        <f t="shared" ca="1" si="49"/>
        <v>0.51206965481363242</v>
      </c>
      <c r="S85" s="307">
        <f t="shared" ca="1" si="50"/>
        <v>13.865994369522044</v>
      </c>
      <c r="T85" s="304">
        <f t="shared" ca="1" si="30"/>
        <v>136.02540476501125</v>
      </c>
      <c r="U85" s="311">
        <f t="shared" ca="1" si="31"/>
        <v>0</v>
      </c>
      <c r="V85" s="306">
        <f t="shared" ca="1" si="32"/>
        <v>1.2225508279729533</v>
      </c>
      <c r="W85" s="304">
        <f t="shared" ca="1" si="33"/>
        <v>7.320794293781403</v>
      </c>
      <c r="Y85" s="314" t="str">
        <f t="shared" ca="1" si="51"/>
        <v/>
      </c>
      <c r="Z85" s="315" t="str">
        <f t="shared" ca="1" si="52"/>
        <v/>
      </c>
      <c r="AA85" s="316" t="str">
        <f t="shared" ca="1" si="53"/>
        <v/>
      </c>
      <c r="AC85" s="310" t="e">
        <f t="shared" ca="1" si="54"/>
        <v>#N/A</v>
      </c>
      <c r="AD85" s="323" t="e">
        <f t="shared" ca="1" si="55"/>
        <v>#N/A</v>
      </c>
      <c r="AE85" s="324">
        <f t="shared" ca="1" si="34"/>
        <v>20.013247521197304</v>
      </c>
      <c r="AG85" s="306">
        <f t="shared" ca="1" si="56"/>
        <v>63.586006359834997</v>
      </c>
      <c r="AH85" s="304">
        <f t="shared" ca="1" si="57"/>
        <v>73.207361275683837</v>
      </c>
    </row>
    <row r="86" spans="1:34" x14ac:dyDescent="0.25">
      <c r="A86" s="347">
        <f t="shared" ca="1" si="35"/>
        <v>0.01</v>
      </c>
      <c r="B86" s="304">
        <f t="shared" ca="1" si="36"/>
        <v>0.82000000000000051</v>
      </c>
      <c r="D86" s="306">
        <f t="shared" ca="1" si="37"/>
        <v>14.310131683250029</v>
      </c>
      <c r="E86" s="307">
        <f t="shared" ca="1" si="38"/>
        <v>61.962497516239466</v>
      </c>
      <c r="F86" s="304">
        <f t="shared" ca="1" si="39"/>
        <v>63.593482112885894</v>
      </c>
      <c r="G86" s="306">
        <f t="shared" ca="1" si="40"/>
        <v>10.156143024139487</v>
      </c>
      <c r="H86" s="307">
        <f t="shared" ca="1" si="41"/>
        <v>50.84005809031563</v>
      </c>
      <c r="I86" s="304">
        <f t="shared" ca="1" si="42"/>
        <v>51.844563338439308</v>
      </c>
      <c r="J86" s="306">
        <f t="shared" ca="1" si="43"/>
        <v>3.857854021278722</v>
      </c>
      <c r="K86" s="307">
        <f t="shared" ca="1" si="44"/>
        <v>20.518549977224648</v>
      </c>
      <c r="L86" s="304">
        <f t="shared" ca="1" si="29"/>
        <v>20.878072967047558</v>
      </c>
      <c r="M86" s="306">
        <f t="shared" ca="1" si="45"/>
        <v>1.3736252478393947</v>
      </c>
      <c r="N86" s="304">
        <f t="shared" ca="1" si="46"/>
        <v>78.70292933380901</v>
      </c>
      <c r="P86" s="310">
        <f t="shared" ca="1" si="47"/>
        <v>6</v>
      </c>
      <c r="Q86" s="304">
        <f t="shared" ca="1" si="48"/>
        <v>1021.7315789473683</v>
      </c>
      <c r="R86" s="306">
        <f t="shared" ca="1" si="49"/>
        <v>0.51181830985466448</v>
      </c>
      <c r="S86" s="307">
        <f t="shared" ca="1" si="50"/>
        <v>13.860876186423496</v>
      </c>
      <c r="T86" s="304">
        <f t="shared" ca="1" si="30"/>
        <v>135.97519538881451</v>
      </c>
      <c r="U86" s="311">
        <f t="shared" ca="1" si="31"/>
        <v>0</v>
      </c>
      <c r="V86" s="306">
        <f t="shared" ca="1" si="32"/>
        <v>1.2224890536766715</v>
      </c>
      <c r="W86" s="304">
        <f t="shared" ca="1" si="33"/>
        <v>7.5032870905735196</v>
      </c>
      <c r="Y86" s="314" t="str">
        <f t="shared" ca="1" si="51"/>
        <v/>
      </c>
      <c r="Z86" s="315" t="str">
        <f t="shared" ca="1" si="52"/>
        <v/>
      </c>
      <c r="AA86" s="316" t="str">
        <f t="shared" ca="1" si="53"/>
        <v/>
      </c>
      <c r="AC86" s="310" t="e">
        <f t="shared" ca="1" si="54"/>
        <v>#N/A</v>
      </c>
      <c r="AD86" s="323" t="e">
        <f t="shared" ca="1" si="55"/>
        <v>#N/A</v>
      </c>
      <c r="AE86" s="324">
        <f t="shared" ca="1" si="34"/>
        <v>20.518549977224648</v>
      </c>
      <c r="AG86" s="306">
        <f t="shared" ca="1" si="56"/>
        <v>63.564546336315622</v>
      </c>
      <c r="AH86" s="304">
        <f t="shared" ca="1" si="57"/>
        <v>73.185184761060469</v>
      </c>
    </row>
    <row r="87" spans="1:34" x14ac:dyDescent="0.25">
      <c r="A87" s="347">
        <f t="shared" ca="1" si="35"/>
        <v>0.01</v>
      </c>
      <c r="B87" s="304">
        <f t="shared" ca="1" si="36"/>
        <v>0.83000000000000052</v>
      </c>
      <c r="D87" s="306">
        <f t="shared" ca="1" si="37"/>
        <v>14.33230476474098</v>
      </c>
      <c r="E87" s="307">
        <f t="shared" ca="1" si="38"/>
        <v>61.935268363752371</v>
      </c>
      <c r="F87" s="304">
        <f t="shared" ca="1" si="39"/>
        <v>63.571946856765699</v>
      </c>
      <c r="G87" s="306">
        <f t="shared" ca="1" si="40"/>
        <v>10.299466071786897</v>
      </c>
      <c r="H87" s="307">
        <f t="shared" ca="1" si="41"/>
        <v>51.459410773953152</v>
      </c>
      <c r="I87" s="304">
        <f t="shared" ca="1" si="42"/>
        <v>52.479995794267502</v>
      </c>
      <c r="J87" s="306">
        <f t="shared" ca="1" si="43"/>
        <v>3.9601320667583542</v>
      </c>
      <c r="K87" s="307">
        <f t="shared" ca="1" si="44"/>
        <v>21.030047321545993</v>
      </c>
      <c r="L87" s="304">
        <f t="shared" ca="1" si="29"/>
        <v>21.399662061178248</v>
      </c>
      <c r="M87" s="306">
        <f t="shared" ca="1" si="45"/>
        <v>1.3732590626181591</v>
      </c>
      <c r="N87" s="304">
        <f t="shared" ca="1" si="46"/>
        <v>78.681948466112161</v>
      </c>
      <c r="P87" s="310">
        <f t="shared" ca="1" si="47"/>
        <v>6</v>
      </c>
      <c r="Q87" s="304">
        <f t="shared" ca="1" si="48"/>
        <v>1021.2298245614035</v>
      </c>
      <c r="R87" s="306">
        <f t="shared" ca="1" si="49"/>
        <v>0.51156696489569653</v>
      </c>
      <c r="S87" s="307">
        <f t="shared" ca="1" si="50"/>
        <v>13.85576051677454</v>
      </c>
      <c r="T87" s="304">
        <f t="shared" ca="1" si="30"/>
        <v>135.92501066955825</v>
      </c>
      <c r="U87" s="311">
        <f t="shared" ca="1" si="31"/>
        <v>0</v>
      </c>
      <c r="V87" s="306">
        <f t="shared" ca="1" si="32"/>
        <v>1.2224265252179329</v>
      </c>
      <c r="W87" s="304">
        <f t="shared" ca="1" si="33"/>
        <v>7.6879489498545954</v>
      </c>
      <c r="Y87" s="314" t="str">
        <f t="shared" ca="1" si="51"/>
        <v/>
      </c>
      <c r="Z87" s="315" t="str">
        <f t="shared" ca="1" si="52"/>
        <v/>
      </c>
      <c r="AA87" s="316" t="str">
        <f t="shared" ca="1" si="53"/>
        <v/>
      </c>
      <c r="AC87" s="310" t="e">
        <f t="shared" ca="1" si="54"/>
        <v>#N/A</v>
      </c>
      <c r="AD87" s="323" t="e">
        <f t="shared" ca="1" si="55"/>
        <v>#N/A</v>
      </c>
      <c r="AE87" s="324">
        <f t="shared" ca="1" si="34"/>
        <v>21.030047321545993</v>
      </c>
      <c r="AG87" s="306">
        <f t="shared" ca="1" si="56"/>
        <v>63.542893726451339</v>
      </c>
      <c r="AH87" s="304">
        <f t="shared" ca="1" si="57"/>
        <v>73.162821791236738</v>
      </c>
    </row>
    <row r="88" spans="1:34" x14ac:dyDescent="0.25">
      <c r="A88" s="347">
        <f t="shared" ca="1" si="35"/>
        <v>0.01</v>
      </c>
      <c r="B88" s="304">
        <f t="shared" ca="1" si="36"/>
        <v>0.84000000000000052</v>
      </c>
      <c r="D88" s="306">
        <f t="shared" ca="1" si="37"/>
        <v>14.354150432547058</v>
      </c>
      <c r="E88" s="307">
        <f t="shared" ca="1" si="38"/>
        <v>61.907904430302551</v>
      </c>
      <c r="F88" s="304">
        <f t="shared" ca="1" si="39"/>
        <v>63.550218454318987</v>
      </c>
      <c r="G88" s="306">
        <f t="shared" ca="1" si="40"/>
        <v>10.443007576112368</v>
      </c>
      <c r="H88" s="307">
        <f t="shared" ca="1" si="41"/>
        <v>52.07848981825618</v>
      </c>
      <c r="I88" s="304">
        <f t="shared" ca="1" si="42"/>
        <v>53.115209770695181</v>
      </c>
      <c r="J88" s="306">
        <f t="shared" ca="1" si="43"/>
        <v>4.0638444349978506</v>
      </c>
      <c r="K88" s="307">
        <f t="shared" ca="1" si="44"/>
        <v>21.547736824507041</v>
      </c>
      <c r="L88" s="304">
        <f t="shared" ca="1" si="29"/>
        <v>21.927603468005341</v>
      </c>
      <c r="M88" s="306">
        <f t="shared" ca="1" si="45"/>
        <v>1.3728965934796353</v>
      </c>
      <c r="N88" s="304">
        <f t="shared" ca="1" si="46"/>
        <v>78.661180514270995</v>
      </c>
      <c r="P88" s="310">
        <f t="shared" ca="1" si="47"/>
        <v>6</v>
      </c>
      <c r="Q88" s="304">
        <f t="shared" ca="1" si="48"/>
        <v>1020.7280701754386</v>
      </c>
      <c r="R88" s="306">
        <f t="shared" ca="1" si="49"/>
        <v>0.51131561993672869</v>
      </c>
      <c r="S88" s="307">
        <f t="shared" ca="1" si="50"/>
        <v>13.850647360575172</v>
      </c>
      <c r="T88" s="304">
        <f t="shared" ca="1" si="30"/>
        <v>135.87485060724245</v>
      </c>
      <c r="U88" s="311">
        <f t="shared" ca="1" si="31"/>
        <v>0</v>
      </c>
      <c r="V88" s="306">
        <f t="shared" ca="1" si="32"/>
        <v>1.2223632430462434</v>
      </c>
      <c r="W88" s="304">
        <f t="shared" ca="1" si="33"/>
        <v>7.8747763207357693</v>
      </c>
      <c r="Y88" s="314" t="str">
        <f t="shared" ca="1" si="51"/>
        <v/>
      </c>
      <c r="Z88" s="315" t="str">
        <f t="shared" ca="1" si="52"/>
        <v/>
      </c>
      <c r="AA88" s="316" t="str">
        <f t="shared" ca="1" si="53"/>
        <v/>
      </c>
      <c r="AC88" s="310" t="e">
        <f t="shared" ca="1" si="54"/>
        <v>#N/A</v>
      </c>
      <c r="AD88" s="323" t="e">
        <f t="shared" ca="1" si="55"/>
        <v>#N/A</v>
      </c>
      <c r="AE88" s="324">
        <f t="shared" ca="1" si="34"/>
        <v>21.547736824507041</v>
      </c>
      <c r="AG88" s="306">
        <f t="shared" ca="1" si="56"/>
        <v>63.521048718663408</v>
      </c>
      <c r="AH88" s="304">
        <f t="shared" ca="1" si="57"/>
        <v>73.140272425758724</v>
      </c>
    </row>
    <row r="89" spans="1:34" x14ac:dyDescent="0.25">
      <c r="A89" s="347">
        <f t="shared" ca="1" si="35"/>
        <v>0.01</v>
      </c>
      <c r="B89" s="304">
        <f t="shared" ca="1" si="36"/>
        <v>0.85000000000000053</v>
      </c>
      <c r="D89" s="306">
        <f t="shared" ca="1" si="37"/>
        <v>14.375674939094159</v>
      </c>
      <c r="E89" s="307">
        <f t="shared" ca="1" si="38"/>
        <v>61.880404846462952</v>
      </c>
      <c r="F89" s="304">
        <f t="shared" ca="1" si="39"/>
        <v>63.528297111733252</v>
      </c>
      <c r="G89" s="306">
        <f t="shared" ca="1" si="40"/>
        <v>10.58676432550331</v>
      </c>
      <c r="H89" s="307">
        <f t="shared" ca="1" si="41"/>
        <v>52.697293866720813</v>
      </c>
      <c r="I89" s="304">
        <f t="shared" ca="1" si="42"/>
        <v>53.750203346213311</v>
      </c>
      <c r="J89" s="306">
        <f t="shared" ca="1" si="43"/>
        <v>4.1689932945059294</v>
      </c>
      <c r="K89" s="307">
        <f t="shared" ca="1" si="44"/>
        <v>22.071615742931925</v>
      </c>
      <c r="L89" s="304">
        <f t="shared" ca="1" si="29"/>
        <v>22.461894991146135</v>
      </c>
      <c r="M89" s="306">
        <f t="shared" ca="1" si="45"/>
        <v>1.372537757818159</v>
      </c>
      <c r="N89" s="304">
        <f t="shared" ca="1" si="46"/>
        <v>78.640620745329628</v>
      </c>
      <c r="P89" s="310">
        <f t="shared" ca="1" si="47"/>
        <v>6</v>
      </c>
      <c r="Q89" s="304">
        <f t="shared" ca="1" si="48"/>
        <v>1020.2263157894737</v>
      </c>
      <c r="R89" s="306">
        <f t="shared" ca="1" si="49"/>
        <v>0.51106427497776075</v>
      </c>
      <c r="S89" s="307">
        <f t="shared" ca="1" si="50"/>
        <v>13.845536717825395</v>
      </c>
      <c r="T89" s="304">
        <f t="shared" ca="1" si="30"/>
        <v>135.82471520186712</v>
      </c>
      <c r="U89" s="311">
        <f t="shared" ca="1" si="31"/>
        <v>0</v>
      </c>
      <c r="V89" s="306">
        <f t="shared" ca="1" si="32"/>
        <v>1.2222992076140782</v>
      </c>
      <c r="W89" s="304">
        <f t="shared" ca="1" si="33"/>
        <v>8.063765619183064</v>
      </c>
      <c r="Y89" s="314" t="str">
        <f t="shared" ca="1" si="51"/>
        <v/>
      </c>
      <c r="Z89" s="315" t="str">
        <f t="shared" ca="1" si="52"/>
        <v/>
      </c>
      <c r="AA89" s="316" t="str">
        <f t="shared" ca="1" si="53"/>
        <v/>
      </c>
      <c r="AC89" s="310" t="e">
        <f t="shared" ca="1" si="54"/>
        <v>#N/A</v>
      </c>
      <c r="AD89" s="323" t="e">
        <f t="shared" ca="1" si="55"/>
        <v>#N/A</v>
      </c>
      <c r="AE89" s="324">
        <f t="shared" ca="1" si="34"/>
        <v>22.071615742931925</v>
      </c>
      <c r="AG89" s="306">
        <f t="shared" ca="1" si="56"/>
        <v>63.499011499858696</v>
      </c>
      <c r="AH89" s="304">
        <f t="shared" ca="1" si="57"/>
        <v>73.117536726863676</v>
      </c>
    </row>
    <row r="90" spans="1:34" x14ac:dyDescent="0.25">
      <c r="A90" s="347">
        <f t="shared" ca="1" si="35"/>
        <v>0.01</v>
      </c>
      <c r="B90" s="304">
        <f t="shared" ca="1" si="36"/>
        <v>0.86000000000000054</v>
      </c>
      <c r="D90" s="306">
        <f t="shared" ca="1" si="37"/>
        <v>14.396884323165512</v>
      </c>
      <c r="E90" s="307">
        <f t="shared" ca="1" si="38"/>
        <v>61.852768775857328</v>
      </c>
      <c r="F90" s="304">
        <f t="shared" ca="1" si="39"/>
        <v>63.506183033262829</v>
      </c>
      <c r="G90" s="306">
        <f t="shared" ca="1" si="40"/>
        <v>10.730733168734965</v>
      </c>
      <c r="H90" s="307">
        <f t="shared" ca="1" si="41"/>
        <v>53.315821554479385</v>
      </c>
      <c r="I90" s="304">
        <f t="shared" ca="1" si="42"/>
        <v>54.384974601149509</v>
      </c>
      <c r="J90" s="306">
        <f t="shared" ca="1" si="43"/>
        <v>4.275580781977121</v>
      </c>
      <c r="K90" s="307">
        <f t="shared" ca="1" si="44"/>
        <v>22.601681320037926</v>
      </c>
      <c r="L90" s="304">
        <f t="shared" ca="1" si="29"/>
        <v>23.002534415054427</v>
      </c>
      <c r="M90" s="306">
        <f t="shared" ca="1" si="45"/>
        <v>1.3721824758057535</v>
      </c>
      <c r="N90" s="304">
        <f t="shared" ca="1" si="46"/>
        <v>78.620264585481877</v>
      </c>
      <c r="P90" s="310">
        <f t="shared" ca="1" si="47"/>
        <v>6</v>
      </c>
      <c r="Q90" s="304">
        <f t="shared" ca="1" si="48"/>
        <v>1019.7245614035087</v>
      </c>
      <c r="R90" s="306">
        <f t="shared" ca="1" si="49"/>
        <v>0.51081293001879291</v>
      </c>
      <c r="S90" s="307">
        <f t="shared" ca="1" si="50"/>
        <v>13.840428588525207</v>
      </c>
      <c r="T90" s="304">
        <f t="shared" ca="1" si="30"/>
        <v>135.77460445343229</v>
      </c>
      <c r="U90" s="311">
        <f t="shared" ca="1" si="31"/>
        <v>0</v>
      </c>
      <c r="V90" s="306">
        <f t="shared" ca="1" si="32"/>
        <v>1.222234419376891</v>
      </c>
      <c r="W90" s="304">
        <f t="shared" ca="1" si="33"/>
        <v>8.2549132281049697</v>
      </c>
      <c r="Y90" s="314" t="str">
        <f t="shared" ca="1" si="51"/>
        <v/>
      </c>
      <c r="Z90" s="315" t="str">
        <f t="shared" ca="1" si="52"/>
        <v/>
      </c>
      <c r="AA90" s="316" t="str">
        <f t="shared" ca="1" si="53"/>
        <v/>
      </c>
      <c r="AC90" s="310" t="e">
        <f t="shared" ca="1" si="54"/>
        <v>#N/A</v>
      </c>
      <c r="AD90" s="323" t="e">
        <f t="shared" ca="1" si="55"/>
        <v>#N/A</v>
      </c>
      <c r="AE90" s="324">
        <f t="shared" ca="1" si="34"/>
        <v>22.601681320037926</v>
      </c>
      <c r="AG90" s="306">
        <f t="shared" ca="1" si="56"/>
        <v>63.476782255614303</v>
      </c>
      <c r="AH90" s="304">
        <f t="shared" ca="1" si="57"/>
        <v>73.094614759478702</v>
      </c>
    </row>
    <row r="91" spans="1:34" x14ac:dyDescent="0.25">
      <c r="A91" s="347">
        <f t="shared" ca="1" si="35"/>
        <v>0.01</v>
      </c>
      <c r="B91" s="304">
        <f t="shared" ca="1" si="36"/>
        <v>0.87000000000000055</v>
      </c>
      <c r="D91" s="306">
        <f t="shared" ca="1" si="37"/>
        <v>14.417784419655826</v>
      </c>
      <c r="E91" s="307">
        <f t="shared" ca="1" si="38"/>
        <v>61.824995413826315</v>
      </c>
      <c r="F91" s="304">
        <f t="shared" ca="1" si="39"/>
        <v>63.483876421429365</v>
      </c>
      <c r="G91" s="306">
        <f t="shared" ca="1" si="40"/>
        <v>10.874911012931523</v>
      </c>
      <c r="H91" s="307">
        <f t="shared" ca="1" si="41"/>
        <v>53.934071508617649</v>
      </c>
      <c r="I91" s="304">
        <f t="shared" ca="1" si="42"/>
        <v>55.019521617657318</v>
      </c>
      <c r="J91" s="306">
        <f t="shared" ca="1" si="43"/>
        <v>4.3836090028854535</v>
      </c>
      <c r="K91" s="307">
        <f t="shared" ca="1" si="44"/>
        <v>23.137930785353412</v>
      </c>
      <c r="L91" s="304">
        <f t="shared" ca="1" si="29"/>
        <v>23.549519505034144</v>
      </c>
      <c r="M91" s="306">
        <f t="shared" ca="1" si="45"/>
        <v>1.3718306702674046</v>
      </c>
      <c r="N91" s="304">
        <f t="shared" ca="1" si="46"/>
        <v>78.600107612925157</v>
      </c>
      <c r="P91" s="310">
        <f t="shared" ca="1" si="47"/>
        <v>6</v>
      </c>
      <c r="Q91" s="304">
        <f t="shared" ca="1" si="48"/>
        <v>1019.2228070175438</v>
      </c>
      <c r="R91" s="306">
        <f t="shared" ca="1" si="49"/>
        <v>0.51056158505982496</v>
      </c>
      <c r="S91" s="307">
        <f t="shared" ca="1" si="50"/>
        <v>13.835322972674609</v>
      </c>
      <c r="T91" s="304">
        <f t="shared" ca="1" si="30"/>
        <v>135.72451836193792</v>
      </c>
      <c r="U91" s="311">
        <f t="shared" ca="1" si="31"/>
        <v>0</v>
      </c>
      <c r="V91" s="306">
        <f t="shared" ca="1" si="32"/>
        <v>1.2221688787931209</v>
      </c>
      <c r="W91" s="304">
        <f t="shared" ca="1" si="33"/>
        <v>8.4482154974407191</v>
      </c>
      <c r="Y91" s="314" t="str">
        <f t="shared" ca="1" si="51"/>
        <v/>
      </c>
      <c r="Z91" s="315" t="str">
        <f t="shared" ca="1" si="52"/>
        <v/>
      </c>
      <c r="AA91" s="316" t="str">
        <f t="shared" ca="1" si="53"/>
        <v/>
      </c>
      <c r="AC91" s="310" t="e">
        <f t="shared" ca="1" si="54"/>
        <v>#N/A</v>
      </c>
      <c r="AD91" s="323" t="e">
        <f t="shared" ca="1" si="55"/>
        <v>#N/A</v>
      </c>
      <c r="AE91" s="324">
        <f t="shared" ca="1" si="34"/>
        <v>23.137930785353412</v>
      </c>
      <c r="AG91" s="306">
        <f t="shared" ca="1" si="56"/>
        <v>63.454361170351632</v>
      </c>
      <c r="AH91" s="304">
        <f t="shared" ca="1" si="57"/>
        <v>73.071506591219176</v>
      </c>
    </row>
    <row r="92" spans="1:34" x14ac:dyDescent="0.25">
      <c r="A92" s="347">
        <f t="shared" ca="1" si="35"/>
        <v>0.01</v>
      </c>
      <c r="B92" s="304">
        <f t="shared" ca="1" si="36"/>
        <v>0.88000000000000056</v>
      </c>
      <c r="D92" s="306">
        <f t="shared" ca="1" si="37"/>
        <v>14.438380868773292</v>
      </c>
      <c r="E92" s="307">
        <f t="shared" ca="1" si="38"/>
        <v>61.797083986166584</v>
      </c>
      <c r="F92" s="304">
        <f t="shared" ca="1" si="39"/>
        <v>63.461377477211165</v>
      </c>
      <c r="G92" s="306">
        <f t="shared" ca="1" si="40"/>
        <v>11.019294821619257</v>
      </c>
      <c r="H92" s="307">
        <f t="shared" ca="1" si="41"/>
        <v>54.552042348479311</v>
      </c>
      <c r="I92" s="304">
        <f t="shared" ca="1" si="42"/>
        <v>55.653842479707052</v>
      </c>
      <c r="J92" s="306">
        <f t="shared" ca="1" si="43"/>
        <v>4.4930800320582076</v>
      </c>
      <c r="K92" s="307">
        <f t="shared" ca="1" si="44"/>
        <v>23.680361354638897</v>
      </c>
      <c r="L92" s="304">
        <f t="shared" ca="1" si="29"/>
        <v>24.102848007253325</v>
      </c>
      <c r="M92" s="306">
        <f t="shared" ca="1" si="45"/>
        <v>1.3714822665633088</v>
      </c>
      <c r="N92" s="304">
        <f t="shared" ca="1" si="46"/>
        <v>78.580145551113745</v>
      </c>
      <c r="P92" s="310">
        <f t="shared" ca="1" si="47"/>
        <v>6</v>
      </c>
      <c r="Q92" s="304">
        <f t="shared" ca="1" si="48"/>
        <v>1018.7210526315789</v>
      </c>
      <c r="R92" s="306">
        <f t="shared" ca="1" si="49"/>
        <v>0.51031024010085713</v>
      </c>
      <c r="S92" s="307">
        <f t="shared" ca="1" si="50"/>
        <v>13.8302198702736</v>
      </c>
      <c r="T92" s="304">
        <f t="shared" ca="1" si="30"/>
        <v>135.67445692738403</v>
      </c>
      <c r="U92" s="311">
        <f t="shared" ca="1" si="31"/>
        <v>0</v>
      </c>
      <c r="V92" s="306">
        <f t="shared" ca="1" si="32"/>
        <v>1.2221025863241985</v>
      </c>
      <c r="W92" s="304">
        <f t="shared" ca="1" si="33"/>
        <v>8.6436687442492897</v>
      </c>
      <c r="Y92" s="314" t="str">
        <f t="shared" ca="1" si="51"/>
        <v/>
      </c>
      <c r="Z92" s="315" t="str">
        <f t="shared" ca="1" si="52"/>
        <v/>
      </c>
      <c r="AA92" s="316" t="str">
        <f t="shared" ca="1" si="53"/>
        <v/>
      </c>
      <c r="AC92" s="310" t="e">
        <f t="shared" ca="1" si="54"/>
        <v>#N/A</v>
      </c>
      <c r="AD92" s="323" t="e">
        <f t="shared" ca="1" si="55"/>
        <v>#N/A</v>
      </c>
      <c r="AE92" s="324">
        <f t="shared" ca="1" si="34"/>
        <v>23.680361354638897</v>
      </c>
      <c r="AG92" s="306">
        <f t="shared" ca="1" si="56"/>
        <v>63.431748427500807</v>
      </c>
      <c r="AH92" s="304">
        <f t="shared" ca="1" si="57"/>
        <v>73.048212292387234</v>
      </c>
    </row>
    <row r="93" spans="1:34" x14ac:dyDescent="0.25">
      <c r="A93" s="347">
        <f t="shared" ca="1" si="35"/>
        <v>0.01</v>
      </c>
      <c r="B93" s="304">
        <f t="shared" ca="1" si="36"/>
        <v>0.89000000000000057</v>
      </c>
      <c r="D93" s="306">
        <f t="shared" ca="1" si="37"/>
        <v>14.458679124726736</v>
      </c>
      <c r="E93" s="307">
        <f t="shared" ca="1" si="38"/>
        <v>61.769033747938323</v>
      </c>
      <c r="F93" s="304">
        <f t="shared" ca="1" si="39"/>
        <v>63.438686400222316</v>
      </c>
      <c r="G93" s="306">
        <f t="shared" ca="1" si="40"/>
        <v>11.163881612866524</v>
      </c>
      <c r="H93" s="307">
        <f t="shared" ca="1" si="41"/>
        <v>55.169732685958692</v>
      </c>
      <c r="I93" s="304">
        <f t="shared" ca="1" si="42"/>
        <v>56.287935273078176</v>
      </c>
      <c r="J93" s="306">
        <f t="shared" ca="1" si="43"/>
        <v>4.6039959142306364</v>
      </c>
      <c r="K93" s="307">
        <f t="shared" ca="1" si="44"/>
        <v>24.228970229811086</v>
      </c>
      <c r="L93" s="304">
        <f t="shared" ca="1" si="29"/>
        <v>24.662517648758495</v>
      </c>
      <c r="M93" s="306">
        <f t="shared" ca="1" si="45"/>
        <v>1.3711371924776301</v>
      </c>
      <c r="N93" s="304">
        <f t="shared" ca="1" si="46"/>
        <v>78.560374262385011</v>
      </c>
      <c r="P93" s="310">
        <f t="shared" ca="1" si="47"/>
        <v>6</v>
      </c>
      <c r="Q93" s="304">
        <f t="shared" ca="1" si="48"/>
        <v>1018.219298245614</v>
      </c>
      <c r="R93" s="306">
        <f t="shared" ca="1" si="49"/>
        <v>0.51005889514188918</v>
      </c>
      <c r="S93" s="307">
        <f t="shared" ca="1" si="50"/>
        <v>13.825119281322181</v>
      </c>
      <c r="T93" s="304">
        <f t="shared" ca="1" si="30"/>
        <v>135.6244201497706</v>
      </c>
      <c r="U93" s="311">
        <f t="shared" ca="1" si="31"/>
        <v>0</v>
      </c>
      <c r="V93" s="306">
        <f t="shared" ca="1" si="32"/>
        <v>1.2220355424345533</v>
      </c>
      <c r="W93" s="304">
        <f t="shared" ca="1" si="33"/>
        <v>8.8412692527991261</v>
      </c>
      <c r="Y93" s="314" t="str">
        <f t="shared" ca="1" si="51"/>
        <v/>
      </c>
      <c r="Z93" s="315" t="str">
        <f t="shared" ca="1" si="52"/>
        <v/>
      </c>
      <c r="AA93" s="316" t="str">
        <f t="shared" ca="1" si="53"/>
        <v/>
      </c>
      <c r="AC93" s="310" t="e">
        <f t="shared" ca="1" si="54"/>
        <v>#N/A</v>
      </c>
      <c r="AD93" s="323" t="e">
        <f t="shared" ca="1" si="55"/>
        <v>#N/A</v>
      </c>
      <c r="AE93" s="324">
        <f t="shared" ca="1" si="34"/>
        <v>24.228970229811086</v>
      </c>
      <c r="AG93" s="306">
        <f t="shared" ca="1" si="56"/>
        <v>63.408944209656127</v>
      </c>
      <c r="AH93" s="304">
        <f t="shared" ca="1" si="57"/>
        <v>73.024731935970166</v>
      </c>
    </row>
    <row r="94" spans="1:34" x14ac:dyDescent="0.25">
      <c r="A94" s="347">
        <f t="shared" ca="1" si="35"/>
        <v>0.01</v>
      </c>
      <c r="B94" s="304">
        <f t="shared" ca="1" si="36"/>
        <v>0.90000000000000058</v>
      </c>
      <c r="D94" s="306">
        <f t="shared" ca="1" si="37"/>
        <v>14.478684463932273</v>
      </c>
      <c r="E94" s="307">
        <f t="shared" ca="1" si="38"/>
        <v>61.740843982336372</v>
      </c>
      <c r="F94" s="304">
        <f t="shared" ca="1" si="39"/>
        <v>63.41580338888182</v>
      </c>
      <c r="G94" s="306">
        <f t="shared" ca="1" si="40"/>
        <v>11.308668457505846</v>
      </c>
      <c r="H94" s="307">
        <f t="shared" ca="1" si="41"/>
        <v>55.787141125782057</v>
      </c>
      <c r="I94" s="304">
        <f t="shared" ca="1" si="42"/>
        <v>56.921798085353132</v>
      </c>
      <c r="J94" s="306">
        <f t="shared" ca="1" si="43"/>
        <v>4.716358664582498</v>
      </c>
      <c r="K94" s="307">
        <f t="shared" ca="1" si="44"/>
        <v>24.783754598869791</v>
      </c>
      <c r="L94" s="304">
        <f t="shared" ca="1" si="29"/>
        <v>25.228526137489322</v>
      </c>
      <c r="M94" s="306">
        <f t="shared" ca="1" si="45"/>
        <v>1.3707953781133368</v>
      </c>
      <c r="N94" s="304">
        <f t="shared" ca="1" si="46"/>
        <v>78.540789741934063</v>
      </c>
      <c r="P94" s="310">
        <f t="shared" ca="1" si="47"/>
        <v>6</v>
      </c>
      <c r="Q94" s="304">
        <f t="shared" ca="1" si="48"/>
        <v>1017.7175438596491</v>
      </c>
      <c r="R94" s="306">
        <f t="shared" ca="1" si="49"/>
        <v>0.50980755018292134</v>
      </c>
      <c r="S94" s="307">
        <f t="shared" ca="1" si="50"/>
        <v>13.820021205820352</v>
      </c>
      <c r="T94" s="304">
        <f t="shared" ca="1" si="30"/>
        <v>135.57440802909767</v>
      </c>
      <c r="U94" s="311">
        <f t="shared" ca="1" si="31"/>
        <v>0</v>
      </c>
      <c r="V94" s="306">
        <f t="shared" ca="1" si="32"/>
        <v>1.2219677475916173</v>
      </c>
      <c r="W94" s="304">
        <f t="shared" ca="1" si="33"/>
        <v>9.0410132746586296</v>
      </c>
      <c r="Y94" s="314" t="str">
        <f t="shared" ca="1" si="51"/>
        <v/>
      </c>
      <c r="Z94" s="315" t="str">
        <f t="shared" ca="1" si="52"/>
        <v/>
      </c>
      <c r="AA94" s="316" t="str">
        <f t="shared" ca="1" si="53"/>
        <v/>
      </c>
      <c r="AC94" s="310" t="e">
        <f t="shared" ca="1" si="54"/>
        <v>#N/A</v>
      </c>
      <c r="AD94" s="323" t="e">
        <f t="shared" ca="1" si="55"/>
        <v>#N/A</v>
      </c>
      <c r="AE94" s="324">
        <f t="shared" ca="1" si="34"/>
        <v>24.783754598869791</v>
      </c>
      <c r="AG94" s="306">
        <f t="shared" ca="1" si="56"/>
        <v>63.385948698722906</v>
      </c>
      <c r="AH94" s="304">
        <f t="shared" ca="1" si="57"/>
        <v>73.001065597638743</v>
      </c>
    </row>
    <row r="95" spans="1:34" x14ac:dyDescent="0.25">
      <c r="A95" s="347">
        <f t="shared" ca="1" si="35"/>
        <v>0.01</v>
      </c>
      <c r="B95" s="304">
        <f t="shared" ca="1" si="36"/>
        <v>0.91000000000000059</v>
      </c>
      <c r="D95" s="306">
        <f t="shared" ca="1" si="37"/>
        <v>14.498401992771029</v>
      </c>
      <c r="E95" s="307">
        <f t="shared" ca="1" si="38"/>
        <v>61.712513999621223</v>
      </c>
      <c r="F95" s="304">
        <f t="shared" ca="1" si="39"/>
        <v>63.39272864057385</v>
      </c>
      <c r="G95" s="306">
        <f t="shared" ca="1" si="40"/>
        <v>11.453652477433556</v>
      </c>
      <c r="H95" s="307">
        <f t="shared" ca="1" si="41"/>
        <v>56.404266265778269</v>
      </c>
      <c r="I95" s="304">
        <f t="shared" ca="1" si="42"/>
        <v>57.555429005912487</v>
      </c>
      <c r="J95" s="306">
        <f t="shared" ca="1" si="43"/>
        <v>4.8301702692571951</v>
      </c>
      <c r="K95" s="307">
        <f t="shared" ca="1" si="44"/>
        <v>25.344711635827593</v>
      </c>
      <c r="L95" s="304">
        <f t="shared" ca="1" si="29"/>
        <v>25.800871162293546</v>
      </c>
      <c r="M95" s="306">
        <f t="shared" ca="1" si="45"/>
        <v>1.3704567557927216</v>
      </c>
      <c r="N95" s="304">
        <f t="shared" ca="1" si="46"/>
        <v>78.521388112113883</v>
      </c>
      <c r="P95" s="310">
        <f t="shared" ca="1" si="47"/>
        <v>6</v>
      </c>
      <c r="Q95" s="304">
        <f t="shared" ca="1" si="48"/>
        <v>1017.2157894736841</v>
      </c>
      <c r="R95" s="306">
        <f t="shared" ca="1" si="49"/>
        <v>0.5095562052239534</v>
      </c>
      <c r="S95" s="307">
        <f t="shared" ca="1" si="50"/>
        <v>13.814925643768111</v>
      </c>
      <c r="T95" s="304">
        <f t="shared" ca="1" si="30"/>
        <v>135.52442056536518</v>
      </c>
      <c r="U95" s="311">
        <f t="shared" ca="1" si="31"/>
        <v>0</v>
      </c>
      <c r="V95" s="306">
        <f t="shared" ca="1" si="32"/>
        <v>1.2218992022658317</v>
      </c>
      <c r="W95" s="304">
        <f t="shared" ca="1" si="33"/>
        <v>9.2428970287873682</v>
      </c>
      <c r="Y95" s="314" t="str">
        <f t="shared" ca="1" si="51"/>
        <v/>
      </c>
      <c r="Z95" s="315" t="str">
        <f t="shared" ca="1" si="52"/>
        <v/>
      </c>
      <c r="AA95" s="316" t="str">
        <f t="shared" ca="1" si="53"/>
        <v/>
      </c>
      <c r="AC95" s="310" t="e">
        <f t="shared" ca="1" si="54"/>
        <v>#N/A</v>
      </c>
      <c r="AD95" s="323" t="e">
        <f t="shared" ca="1" si="55"/>
        <v>#N/A</v>
      </c>
      <c r="AE95" s="324">
        <f t="shared" ca="1" si="34"/>
        <v>25.344711635827593</v>
      </c>
      <c r="AG95" s="306">
        <f t="shared" ca="1" si="56"/>
        <v>63.362762076056526</v>
      </c>
      <c r="AH95" s="304">
        <f t="shared" ca="1" si="57"/>
        <v>72.977213355745519</v>
      </c>
    </row>
    <row r="96" spans="1:34" x14ac:dyDescent="0.25">
      <c r="A96" s="347">
        <f t="shared" ca="1" si="35"/>
        <v>0.01</v>
      </c>
      <c r="B96" s="304">
        <f t="shared" ca="1" si="36"/>
        <v>0.9200000000000006</v>
      </c>
      <c r="D96" s="306">
        <f t="shared" ca="1" si="37"/>
        <v>14.517836654927365</v>
      </c>
      <c r="E96" s="307">
        <f t="shared" ca="1" si="38"/>
        <v>61.684043136105728</v>
      </c>
      <c r="F96" s="304">
        <f t="shared" ca="1" si="39"/>
        <v>63.369462351799271</v>
      </c>
      <c r="G96" s="306">
        <f t="shared" ca="1" si="40"/>
        <v>11.59883084398283</v>
      </c>
      <c r="H96" s="307">
        <f t="shared" ca="1" si="41"/>
        <v>57.021106697139324</v>
      </c>
      <c r="I96" s="304">
        <f t="shared" ca="1" si="42"/>
        <v>58.188826125931385</v>
      </c>
      <c r="J96" s="306">
        <f t="shared" ca="1" si="43"/>
        <v>4.9454326858642768</v>
      </c>
      <c r="K96" s="307">
        <f t="shared" ca="1" si="44"/>
        <v>25.911838500642183</v>
      </c>
      <c r="L96" s="304">
        <f t="shared" ca="1" si="29"/>
        <v>26.379550392942207</v>
      </c>
      <c r="M96" s="306">
        <f t="shared" ca="1" si="45"/>
        <v>1.3701212599632382</v>
      </c>
      <c r="N96" s="304">
        <f t="shared" ca="1" si="46"/>
        <v>78.502165617040248</v>
      </c>
      <c r="P96" s="310">
        <f t="shared" ca="1" si="47"/>
        <v>6</v>
      </c>
      <c r="Q96" s="304">
        <f t="shared" ca="1" si="48"/>
        <v>1016.7140350877193</v>
      </c>
      <c r="R96" s="306">
        <f t="shared" ca="1" si="49"/>
        <v>0.50930486026498556</v>
      </c>
      <c r="S96" s="307">
        <f t="shared" ca="1" si="50"/>
        <v>13.809832595165462</v>
      </c>
      <c r="T96" s="304">
        <f t="shared" ca="1" si="30"/>
        <v>135.47445775857318</v>
      </c>
      <c r="U96" s="311">
        <f t="shared" ca="1" si="31"/>
        <v>0</v>
      </c>
      <c r="V96" s="306">
        <f t="shared" ca="1" si="32"/>
        <v>1.221829906930654</v>
      </c>
      <c r="W96" s="304">
        <f t="shared" ca="1" si="33"/>
        <v>9.4469167016281013</v>
      </c>
      <c r="Y96" s="314" t="str">
        <f t="shared" ca="1" si="51"/>
        <v/>
      </c>
      <c r="Z96" s="315" t="str">
        <f t="shared" ca="1" si="52"/>
        <v/>
      </c>
      <c r="AA96" s="316" t="str">
        <f t="shared" ca="1" si="53"/>
        <v/>
      </c>
      <c r="AC96" s="310" t="e">
        <f t="shared" ca="1" si="54"/>
        <v>#N/A</v>
      </c>
      <c r="AD96" s="323" t="e">
        <f t="shared" ca="1" si="55"/>
        <v>#N/A</v>
      </c>
      <c r="AE96" s="324">
        <f t="shared" ca="1" si="34"/>
        <v>25.911838500642183</v>
      </c>
      <c r="AG96" s="306">
        <f t="shared" ca="1" si="56"/>
        <v>63.339384522593889</v>
      </c>
      <c r="AH96" s="304">
        <f t="shared" ca="1" si="57"/>
        <v>72.953175291322992</v>
      </c>
    </row>
    <row r="97" spans="1:34" x14ac:dyDescent="0.25">
      <c r="A97" s="347">
        <f t="shared" ca="1" si="35"/>
        <v>0.01</v>
      </c>
      <c r="B97" s="304">
        <f t="shared" ca="1" si="36"/>
        <v>0.9300000000000006</v>
      </c>
      <c r="D97" s="306">
        <f t="shared" ca="1" si="37"/>
        <v>14.536993238334565</v>
      </c>
      <c r="E97" s="307">
        <f t="shared" ca="1" si="38"/>
        <v>61.65543075319421</v>
      </c>
      <c r="F97" s="304">
        <f t="shared" ca="1" si="39"/>
        <v>63.346004718319143</v>
      </c>
      <c r="G97" s="306">
        <f t="shared" ca="1" si="40"/>
        <v>11.744200776366176</v>
      </c>
      <c r="H97" s="307">
        <f t="shared" ca="1" si="41"/>
        <v>57.637661004671266</v>
      </c>
      <c r="I97" s="304">
        <f t="shared" ca="1" si="42"/>
        <v>58.821987538377201</v>
      </c>
      <c r="J97" s="306">
        <f t="shared" ca="1" si="43"/>
        <v>5.0621478439660219</v>
      </c>
      <c r="K97" s="307">
        <f t="shared" ca="1" si="44"/>
        <v>26.485132339151235</v>
      </c>
      <c r="L97" s="304">
        <f t="shared" ca="1" si="29"/>
        <v>26.96456148014509</v>
      </c>
      <c r="M97" s="306">
        <f t="shared" ca="1" si="45"/>
        <v>1.369788827108317</v>
      </c>
      <c r="N97" s="304">
        <f t="shared" ca="1" si="46"/>
        <v>78.483118617481765</v>
      </c>
      <c r="P97" s="310">
        <f t="shared" ca="1" si="47"/>
        <v>6</v>
      </c>
      <c r="Q97" s="304">
        <f t="shared" ca="1" si="48"/>
        <v>1016.2122807017544</v>
      </c>
      <c r="R97" s="306">
        <f t="shared" ca="1" si="49"/>
        <v>0.50905351530601761</v>
      </c>
      <c r="S97" s="307">
        <f t="shared" ca="1" si="50"/>
        <v>13.804742060012401</v>
      </c>
      <c r="T97" s="304">
        <f t="shared" ca="1" si="30"/>
        <v>135.42451960872165</v>
      </c>
      <c r="U97" s="311">
        <f t="shared" ca="1" si="31"/>
        <v>0</v>
      </c>
      <c r="V97" s="306">
        <f t="shared" ca="1" si="32"/>
        <v>1.2217598620625574</v>
      </c>
      <c r="W97" s="304">
        <f t="shared" ca="1" si="33"/>
        <v>9.6530684471994874</v>
      </c>
      <c r="Y97" s="314" t="str">
        <f t="shared" ca="1" si="51"/>
        <v/>
      </c>
      <c r="Z97" s="315" t="str">
        <f t="shared" ca="1" si="52"/>
        <v/>
      </c>
      <c r="AA97" s="316" t="str">
        <f t="shared" ca="1" si="53"/>
        <v/>
      </c>
      <c r="AC97" s="310" t="e">
        <f t="shared" ca="1" si="54"/>
        <v>#N/A</v>
      </c>
      <c r="AD97" s="323" t="e">
        <f t="shared" ca="1" si="55"/>
        <v>#N/A</v>
      </c>
      <c r="AE97" s="324">
        <f t="shared" ca="1" si="34"/>
        <v>26.485132339151235</v>
      </c>
      <c r="AG97" s="306">
        <f t="shared" ca="1" si="56"/>
        <v>63.315816218978014</v>
      </c>
      <c r="AH97" s="304">
        <f t="shared" ca="1" si="57"/>
        <v>72.928951488081765</v>
      </c>
    </row>
    <row r="98" spans="1:34" x14ac:dyDescent="0.25">
      <c r="A98" s="347">
        <f t="shared" ca="1" si="35"/>
        <v>0.01</v>
      </c>
      <c r="B98" s="304">
        <f t="shared" ca="1" si="36"/>
        <v>0.94000000000000061</v>
      </c>
      <c r="D98" s="306">
        <f t="shared" ca="1" si="37"/>
        <v>14.555876381752981</v>
      </c>
      <c r="E98" s="307">
        <f t="shared" ca="1" si="38"/>
        <v>61.6266762364708</v>
      </c>
      <c r="F98" s="304">
        <f t="shared" ca="1" si="39"/>
        <v>63.322355935290886</v>
      </c>
      <c r="G98" s="306">
        <f t="shared" ca="1" si="40"/>
        <v>11.889759540183706</v>
      </c>
      <c r="H98" s="307">
        <f t="shared" ca="1" si="41"/>
        <v>58.253927767035975</v>
      </c>
      <c r="I98" s="304">
        <f t="shared" ca="1" si="42"/>
        <v>59.454911338008351</v>
      </c>
      <c r="J98" s="306">
        <f t="shared" ca="1" si="43"/>
        <v>5.1803176455487714</v>
      </c>
      <c r="K98" s="307">
        <f t="shared" ca="1" si="44"/>
        <v>27.064590283009771</v>
      </c>
      <c r="L98" s="304">
        <f t="shared" ca="1" si="29"/>
        <v>27.555902055566442</v>
      </c>
      <c r="M98" s="306">
        <f t="shared" ca="1" si="45"/>
        <v>1.3694593956628436</v>
      </c>
      <c r="N98" s="304">
        <f t="shared" ca="1" si="46"/>
        <v>78.464243586017247</v>
      </c>
      <c r="P98" s="310">
        <f t="shared" ca="1" si="47"/>
        <v>6</v>
      </c>
      <c r="Q98" s="304">
        <f t="shared" ca="1" si="48"/>
        <v>1015.7105263157895</v>
      </c>
      <c r="R98" s="306">
        <f t="shared" ca="1" si="49"/>
        <v>0.50880217034704978</v>
      </c>
      <c r="S98" s="307">
        <f t="shared" ca="1" si="50"/>
        <v>13.799654038308931</v>
      </c>
      <c r="T98" s="304">
        <f t="shared" ca="1" si="30"/>
        <v>135.37460611581062</v>
      </c>
      <c r="U98" s="311">
        <f t="shared" ca="1" si="31"/>
        <v>0</v>
      </c>
      <c r="V98" s="306">
        <f t="shared" ca="1" si="32"/>
        <v>1.2216890681410422</v>
      </c>
      <c r="W98" s="304">
        <f t="shared" ca="1" si="33"/>
        <v>9.8613483871896594</v>
      </c>
      <c r="Y98" s="314" t="str">
        <f t="shared" ca="1" si="51"/>
        <v/>
      </c>
      <c r="Z98" s="315" t="str">
        <f t="shared" ca="1" si="52"/>
        <v/>
      </c>
      <c r="AA98" s="316" t="str">
        <f t="shared" ca="1" si="53"/>
        <v/>
      </c>
      <c r="AC98" s="310" t="e">
        <f t="shared" ca="1" si="54"/>
        <v>#N/A</v>
      </c>
      <c r="AD98" s="323" t="e">
        <f t="shared" ca="1" si="55"/>
        <v>#N/A</v>
      </c>
      <c r="AE98" s="324">
        <f t="shared" ca="1" si="34"/>
        <v>27.064590283009771</v>
      </c>
      <c r="AG98" s="306">
        <f t="shared" ca="1" si="56"/>
        <v>63.292057345675985</v>
      </c>
      <c r="AH98" s="304">
        <f t="shared" ca="1" si="57"/>
        <v>72.904542032408557</v>
      </c>
    </row>
    <row r="99" spans="1:34" x14ac:dyDescent="0.25">
      <c r="A99" s="347">
        <f t="shared" ca="1" si="35"/>
        <v>0.01</v>
      </c>
      <c r="B99" s="304">
        <f t="shared" ca="1" si="36"/>
        <v>0.95000000000000062</v>
      </c>
      <c r="D99" s="306">
        <f t="shared" ca="1" si="37"/>
        <v>14.574490581004007</v>
      </c>
      <c r="E99" s="307">
        <f t="shared" ca="1" si="38"/>
        <v>61.597778994833703</v>
      </c>
      <c r="F99" s="304">
        <f t="shared" ca="1" si="39"/>
        <v>63.298516197397163</v>
      </c>
      <c r="G99" s="306">
        <f t="shared" ca="1" si="40"/>
        <v>12.035504445993746</v>
      </c>
      <c r="H99" s="307">
        <f t="shared" ca="1" si="41"/>
        <v>58.869905556984314</v>
      </c>
      <c r="I99" s="304">
        <f t="shared" ca="1" si="42"/>
        <v>60.087595621374199</v>
      </c>
      <c r="J99" s="306">
        <f t="shared" ca="1" si="43"/>
        <v>5.2999439654796587</v>
      </c>
      <c r="K99" s="307">
        <f t="shared" ca="1" si="44"/>
        <v>27.650209449629873</v>
      </c>
      <c r="L99" s="304">
        <f t="shared" ca="1" si="29"/>
        <v>28.153569731840854</v>
      </c>
      <c r="M99" s="306">
        <f t="shared" ca="1" si="45"/>
        <v>1.3691329059330111</v>
      </c>
      <c r="N99" s="304">
        <f t="shared" ca="1" si="46"/>
        <v>78.445537102443481</v>
      </c>
      <c r="P99" s="310">
        <f t="shared" ca="1" si="47"/>
        <v>6</v>
      </c>
      <c r="Q99" s="304">
        <f t="shared" ca="1" si="48"/>
        <v>1015.2087719298245</v>
      </c>
      <c r="R99" s="306">
        <f t="shared" ca="1" si="49"/>
        <v>0.50855082538808183</v>
      </c>
      <c r="S99" s="307">
        <f t="shared" ca="1" si="50"/>
        <v>13.79456853005505</v>
      </c>
      <c r="T99" s="304">
        <f t="shared" ca="1" si="30"/>
        <v>135.32471727984006</v>
      </c>
      <c r="U99" s="311">
        <f t="shared" ca="1" si="31"/>
        <v>0</v>
      </c>
      <c r="V99" s="306">
        <f t="shared" ca="1" si="32"/>
        <v>1.2216175256486344</v>
      </c>
      <c r="W99" s="304">
        <f t="shared" ca="1" si="33"/>
        <v>10.07175261105051</v>
      </c>
      <c r="Y99" s="314" t="str">
        <f t="shared" ca="1" si="51"/>
        <v/>
      </c>
      <c r="Z99" s="315" t="str">
        <f t="shared" ca="1" si="52"/>
        <v/>
      </c>
      <c r="AA99" s="316" t="str">
        <f t="shared" ca="1" si="53"/>
        <v/>
      </c>
      <c r="AC99" s="310" t="e">
        <f t="shared" ca="1" si="54"/>
        <v>#N/A</v>
      </c>
      <c r="AD99" s="323" t="e">
        <f t="shared" ca="1" si="55"/>
        <v>#N/A</v>
      </c>
      <c r="AE99" s="324">
        <f t="shared" ca="1" si="34"/>
        <v>27.650209449629873</v>
      </c>
      <c r="AG99" s="306">
        <f t="shared" ca="1" si="56"/>
        <v>63.268108083090887</v>
      </c>
      <c r="AH99" s="304">
        <f t="shared" ca="1" si="57"/>
        <v>72.879947013364301</v>
      </c>
    </row>
    <row r="100" spans="1:34" x14ac:dyDescent="0.25">
      <c r="A100" s="347">
        <f t="shared" ca="1" si="35"/>
        <v>0.01</v>
      </c>
      <c r="B100" s="304">
        <f t="shared" ca="1" si="36"/>
        <v>0.96000000000000063</v>
      </c>
      <c r="D100" s="306">
        <f t="shared" ca="1" si="37"/>
        <v>14.59284019488115</v>
      </c>
      <c r="E100" s="307">
        <f t="shared" ca="1" si="38"/>
        <v>61.568738459672886</v>
      </c>
      <c r="F100" s="304">
        <f t="shared" ca="1" si="39"/>
        <v>63.274485698968284</v>
      </c>
      <c r="G100" s="306">
        <f t="shared" ca="1" si="40"/>
        <v>12.181432847942558</v>
      </c>
      <c r="H100" s="307">
        <f t="shared" ca="1" si="41"/>
        <v>59.485592941581039</v>
      </c>
      <c r="I100" s="304">
        <f t="shared" ca="1" si="42"/>
        <v>60.720038486815945</v>
      </c>
      <c r="J100" s="306">
        <f t="shared" ca="1" si="43"/>
        <v>5.4210286519493405</v>
      </c>
      <c r="K100" s="307">
        <f t="shared" ca="1" si="44"/>
        <v>28.241986942122701</v>
      </c>
      <c r="L100" s="304">
        <f t="shared" ca="1" si="29"/>
        <v>28.757562102589379</v>
      </c>
      <c r="M100" s="306">
        <f t="shared" ca="1" si="45"/>
        <v>1.3688093000202743</v>
      </c>
      <c r="N100" s="304">
        <f t="shared" ca="1" si="46"/>
        <v>78.426995849418191</v>
      </c>
      <c r="P100" s="310">
        <f t="shared" ca="1" si="47"/>
        <v>6</v>
      </c>
      <c r="Q100" s="304">
        <f t="shared" ca="1" si="48"/>
        <v>1014.7070175438596</v>
      </c>
      <c r="R100" s="306">
        <f t="shared" ca="1" si="49"/>
        <v>0.50829948042911399</v>
      </c>
      <c r="S100" s="307">
        <f t="shared" ca="1" si="50"/>
        <v>13.78948553525076</v>
      </c>
      <c r="T100" s="304">
        <f t="shared" ca="1" si="30"/>
        <v>135.27485310080996</v>
      </c>
      <c r="U100" s="311">
        <f t="shared" ca="1" si="31"/>
        <v>0</v>
      </c>
      <c r="V100" s="306">
        <f t="shared" ca="1" si="32"/>
        <v>1.2215452350708911</v>
      </c>
      <c r="W100" s="304">
        <f t="shared" ca="1" si="33"/>
        <v>10.284277176092777</v>
      </c>
      <c r="Y100" s="314" t="str">
        <f t="shared" ca="1" si="51"/>
        <v/>
      </c>
      <c r="Z100" s="315" t="str">
        <f t="shared" ca="1" si="52"/>
        <v/>
      </c>
      <c r="AA100" s="316" t="str">
        <f t="shared" ca="1" si="53"/>
        <v/>
      </c>
      <c r="AC100" s="310" t="e">
        <f t="shared" ca="1" si="54"/>
        <v>#N/A</v>
      </c>
      <c r="AD100" s="323" t="e">
        <f t="shared" ca="1" si="55"/>
        <v>#N/A</v>
      </c>
      <c r="AE100" s="324">
        <f t="shared" ca="1" si="34"/>
        <v>28.241986942122701</v>
      </c>
      <c r="AG100" s="306">
        <f t="shared" ca="1" si="56"/>
        <v>63.243968611667839</v>
      </c>
      <c r="AH100" s="304">
        <f t="shared" ca="1" si="57"/>
        <v>72.855166522682012</v>
      </c>
    </row>
    <row r="101" spans="1:34" x14ac:dyDescent="0.25">
      <c r="A101" s="347">
        <f t="shared" ca="1" si="35"/>
        <v>0.01</v>
      </c>
      <c r="B101" s="304">
        <f t="shared" ca="1" si="36"/>
        <v>0.97000000000000064</v>
      </c>
      <c r="D101" s="306">
        <f t="shared" ca="1" si="37"/>
        <v>14.610929450758324</v>
      </c>
      <c r="E101" s="307">
        <f t="shared" ca="1" si="38"/>
        <v>61.539554084088323</v>
      </c>
      <c r="F101" s="304">
        <f t="shared" ca="1" si="39"/>
        <v>63.250264634098322</v>
      </c>
      <c r="G101" s="306">
        <f t="shared" ca="1" si="40"/>
        <v>12.327542142450142</v>
      </c>
      <c r="H101" s="307">
        <f t="shared" ca="1" si="41"/>
        <v>60.100988482421926</v>
      </c>
      <c r="I101" s="304">
        <f t="shared" ca="1" si="42"/>
        <v>61.35223803446862</v>
      </c>
      <c r="J101" s="306">
        <f t="shared" ca="1" si="43"/>
        <v>5.5435735269013042</v>
      </c>
      <c r="K101" s="307">
        <f t="shared" ca="1" si="44"/>
        <v>28.839919849242715</v>
      </c>
      <c r="L101" s="304">
        <f t="shared" ca="1" si="29"/>
        <v>29.367876742435858</v>
      </c>
      <c r="M101" s="306">
        <f t="shared" ca="1" si="45"/>
        <v>1.3684885217491578</v>
      </c>
      <c r="N101" s="304">
        <f t="shared" ca="1" si="46"/>
        <v>78.408616608323712</v>
      </c>
      <c r="P101" s="310">
        <f t="shared" ca="1" si="47"/>
        <v>6</v>
      </c>
      <c r="Q101" s="304">
        <f t="shared" ca="1" si="48"/>
        <v>1014.2052631578947</v>
      </c>
      <c r="R101" s="306">
        <f t="shared" ca="1" si="49"/>
        <v>0.50804813547014605</v>
      </c>
      <c r="S101" s="307">
        <f t="shared" ca="1" si="50"/>
        <v>13.784405053896059</v>
      </c>
      <c r="T101" s="304">
        <f t="shared" ca="1" si="30"/>
        <v>135.22501357872034</v>
      </c>
      <c r="U101" s="311">
        <f t="shared" ca="1" si="31"/>
        <v>0</v>
      </c>
      <c r="V101" s="306">
        <f t="shared" ca="1" si="32"/>
        <v>1.2214721968964053</v>
      </c>
      <c r="W101" s="304">
        <f t="shared" ca="1" si="33"/>
        <v>10.498918107581968</v>
      </c>
      <c r="Y101" s="314" t="str">
        <f t="shared" ca="1" si="51"/>
        <v/>
      </c>
      <c r="Z101" s="315" t="str">
        <f t="shared" ca="1" si="52"/>
        <v/>
      </c>
      <c r="AA101" s="316" t="str">
        <f t="shared" ca="1" si="53"/>
        <v/>
      </c>
      <c r="AC101" s="310" t="e">
        <f t="shared" ca="1" si="54"/>
        <v>#N/A</v>
      </c>
      <c r="AD101" s="323" t="e">
        <f t="shared" ca="1" si="55"/>
        <v>#N/A</v>
      </c>
      <c r="AE101" s="324">
        <f t="shared" ca="1" si="34"/>
        <v>28.839919849242715</v>
      </c>
      <c r="AG101" s="306">
        <f t="shared" ca="1" si="56"/>
        <v>63.21963911199461</v>
      </c>
      <c r="AH101" s="304">
        <f t="shared" ca="1" si="57"/>
        <v>72.830200654764653</v>
      </c>
    </row>
    <row r="102" spans="1:34" x14ac:dyDescent="0.25">
      <c r="A102" s="347">
        <f t="shared" ca="1" si="35"/>
        <v>0.01</v>
      </c>
      <c r="B102" s="304">
        <f t="shared" ca="1" si="36"/>
        <v>0.98000000000000065</v>
      </c>
      <c r="D102" s="306">
        <f t="shared" ca="1" si="37"/>
        <v>14.628762449913722</v>
      </c>
      <c r="E102" s="307">
        <f t="shared" ca="1" si="38"/>
        <v>61.510225342146441</v>
      </c>
      <c r="F102" s="304">
        <f t="shared" ca="1" si="39"/>
        <v>63.225853196755203</v>
      </c>
      <c r="G102" s="306">
        <f t="shared" ca="1" si="40"/>
        <v>12.473829766949279</v>
      </c>
      <c r="H102" s="307">
        <f t="shared" ca="1" si="41"/>
        <v>60.716090735843387</v>
      </c>
      <c r="I102" s="304">
        <f t="shared" ca="1" si="42"/>
        <v>61.984192366263812</v>
      </c>
      <c r="J102" s="306">
        <f t="shared" ca="1" si="43"/>
        <v>5.667580386448301</v>
      </c>
      <c r="K102" s="307">
        <f t="shared" ca="1" si="44"/>
        <v>29.444005245334044</v>
      </c>
      <c r="L102" s="304">
        <f t="shared" ca="1" si="29"/>
        <v>29.984511207023402</v>
      </c>
      <c r="M102" s="306">
        <f t="shared" ca="1" si="45"/>
        <v>1.3681705165986811</v>
      </c>
      <c r="N102" s="304">
        <f t="shared" ca="1" si="46"/>
        <v>78.390396255337961</v>
      </c>
      <c r="P102" s="310">
        <f t="shared" ca="1" si="47"/>
        <v>6</v>
      </c>
      <c r="Q102" s="304">
        <f t="shared" ca="1" si="48"/>
        <v>1013.7035087719298</v>
      </c>
      <c r="R102" s="306">
        <f t="shared" ca="1" si="49"/>
        <v>0.50779679051117821</v>
      </c>
      <c r="S102" s="307">
        <f t="shared" ca="1" si="50"/>
        <v>13.779327085990946</v>
      </c>
      <c r="T102" s="304">
        <f t="shared" ca="1" si="30"/>
        <v>135.17519871357118</v>
      </c>
      <c r="U102" s="311">
        <f t="shared" ca="1" si="31"/>
        <v>0</v>
      </c>
      <c r="V102" s="306">
        <f t="shared" ca="1" si="32"/>
        <v>1.2213984116168088</v>
      </c>
      <c r="W102" s="304">
        <f t="shared" ca="1" si="33"/>
        <v>10.715671398834999</v>
      </c>
      <c r="Y102" s="314" t="str">
        <f t="shared" ca="1" si="51"/>
        <v/>
      </c>
      <c r="Z102" s="315" t="str">
        <f t="shared" ca="1" si="52"/>
        <v/>
      </c>
      <c r="AA102" s="316" t="str">
        <f t="shared" ca="1" si="53"/>
        <v/>
      </c>
      <c r="AC102" s="310" t="e">
        <f t="shared" ca="1" si="54"/>
        <v>#N/A</v>
      </c>
      <c r="AD102" s="323" t="e">
        <f t="shared" ca="1" si="55"/>
        <v>#N/A</v>
      </c>
      <c r="AE102" s="324">
        <f t="shared" ca="1" si="34"/>
        <v>29.444005245334044</v>
      </c>
      <c r="AG102" s="306">
        <f t="shared" ca="1" si="56"/>
        <v>63.195119764897179</v>
      </c>
      <c r="AH102" s="304">
        <f t="shared" ca="1" si="57"/>
        <v>72.805049506682934</v>
      </c>
    </row>
    <row r="103" spans="1:34" x14ac:dyDescent="0.25">
      <c r="A103" s="347">
        <f t="shared" ca="1" si="35"/>
        <v>0.01</v>
      </c>
      <c r="B103" s="304">
        <f t="shared" ca="1" si="36"/>
        <v>0.99000000000000066</v>
      </c>
      <c r="D103" s="306">
        <f t="shared" ca="1" si="37"/>
        <v>14.646343172586638</v>
      </c>
      <c r="E103" s="307">
        <f t="shared" ca="1" si="38"/>
        <v>61.480751728172677</v>
      </c>
      <c r="F103" s="304">
        <f t="shared" ca="1" si="39"/>
        <v>63.201251580885504</v>
      </c>
      <c r="G103" s="306">
        <f t="shared" ca="1" si="40"/>
        <v>12.620293198675146</v>
      </c>
      <c r="H103" s="307">
        <f t="shared" ca="1" si="41"/>
        <v>61.330898253125113</v>
      </c>
      <c r="I103" s="304">
        <f t="shared" ca="1" si="42"/>
        <v>62.615899585933533</v>
      </c>
      <c r="J103" s="306">
        <f t="shared" ca="1" si="43"/>
        <v>5.7930510012764227</v>
      </c>
      <c r="K103" s="307">
        <f t="shared" ca="1" si="44"/>
        <v>30.054240190278886</v>
      </c>
      <c r="L103" s="304">
        <f t="shared" ca="1" si="29"/>
        <v>30.607463033031085</v>
      </c>
      <c r="M103" s="306">
        <f t="shared" ca="1" si="45"/>
        <v>1.3678552316371877</v>
      </c>
      <c r="N103" s="304">
        <f t="shared" ca="1" si="46"/>
        <v>78.372331757700451</v>
      </c>
      <c r="P103" s="310">
        <f t="shared" ca="1" si="47"/>
        <v>6</v>
      </c>
      <c r="Q103" s="304">
        <f t="shared" ca="1" si="48"/>
        <v>1013.2017543859648</v>
      </c>
      <c r="R103" s="306">
        <f t="shared" ca="1" si="49"/>
        <v>0.50754544555221026</v>
      </c>
      <c r="S103" s="307">
        <f t="shared" ca="1" si="50"/>
        <v>13.774251631535424</v>
      </c>
      <c r="T103" s="304">
        <f t="shared" ca="1" si="30"/>
        <v>135.12540850536251</v>
      </c>
      <c r="U103" s="311">
        <f t="shared" ca="1" si="31"/>
        <v>0</v>
      </c>
      <c r="V103" s="306">
        <f t="shared" ca="1" si="32"/>
        <v>1.221323879726774</v>
      </c>
      <c r="W103" s="304">
        <f t="shared" ca="1" si="33"/>
        <v>10.934533011317715</v>
      </c>
      <c r="Y103" s="314" t="str">
        <f t="shared" ca="1" si="51"/>
        <v/>
      </c>
      <c r="Z103" s="315" t="str">
        <f t="shared" ca="1" si="52"/>
        <v/>
      </c>
      <c r="AA103" s="316" t="str">
        <f t="shared" ca="1" si="53"/>
        <v/>
      </c>
      <c r="AC103" s="310" t="e">
        <f t="shared" ca="1" si="54"/>
        <v>#N/A</v>
      </c>
      <c r="AD103" s="323" t="e">
        <f t="shared" ca="1" si="55"/>
        <v>#N/A</v>
      </c>
      <c r="AE103" s="324">
        <f t="shared" ca="1" si="34"/>
        <v>30.054240190278886</v>
      </c>
      <c r="AG103" s="306">
        <f t="shared" ca="1" si="56"/>
        <v>63.170410751530362</v>
      </c>
      <c r="AH103" s="304">
        <f t="shared" ca="1" si="57"/>
        <v>72.779713178173012</v>
      </c>
    </row>
    <row r="104" spans="1:34" x14ac:dyDescent="0.25">
      <c r="A104" s="347">
        <f t="shared" ca="1" si="35"/>
        <v>0.01</v>
      </c>
      <c r="B104" s="304">
        <f t="shared" ca="1" si="36"/>
        <v>1.0000000000000007</v>
      </c>
      <c r="D104" s="306">
        <f t="shared" ca="1" si="37"/>
        <v>14.663675482783113</v>
      </c>
      <c r="E104" s="307">
        <f t="shared" ca="1" si="38"/>
        <v>61.451132756077882</v>
      </c>
      <c r="F104" s="304">
        <f t="shared" ca="1" si="39"/>
        <v>63.176459980513961</v>
      </c>
      <c r="G104" s="306">
        <f t="shared" ca="1" si="40"/>
        <v>12.766929953502977</v>
      </c>
      <c r="H104" s="307">
        <f t="shared" ca="1" si="41"/>
        <v>61.94540958068589</v>
      </c>
      <c r="I104" s="304">
        <f t="shared" ca="1" si="42"/>
        <v>63.247357799014679</v>
      </c>
      <c r="J104" s="306">
        <f t="shared" ca="1" si="43"/>
        <v>5.9199871170373131</v>
      </c>
      <c r="K104" s="307">
        <f t="shared" ca="1" si="44"/>
        <v>30.670621729447941</v>
      </c>
      <c r="L104" s="304">
        <f t="shared" ca="1" si="29"/>
        <v>31.236729738190775</v>
      </c>
      <c r="M104" s="306">
        <f t="shared" ca="1" si="45"/>
        <v>1.3675426154603765</v>
      </c>
      <c r="N104" s="304">
        <f t="shared" ca="1" si="46"/>
        <v>78.35442017016166</v>
      </c>
      <c r="P104" s="310">
        <f t="shared" ca="1" si="47"/>
        <v>6</v>
      </c>
      <c r="Q104" s="304">
        <f t="shared" ca="1" si="48"/>
        <v>1012.6999999999999</v>
      </c>
      <c r="R104" s="306">
        <f t="shared" ca="1" si="49"/>
        <v>0.50729410059324243</v>
      </c>
      <c r="S104" s="307">
        <f t="shared" ca="1" si="50"/>
        <v>13.769178690529492</v>
      </c>
      <c r="T104" s="304">
        <f t="shared" ca="1" si="30"/>
        <v>135.07564295409432</v>
      </c>
      <c r="U104" s="311">
        <f t="shared" ca="1" si="31"/>
        <v>0</v>
      </c>
      <c r="V104" s="306">
        <f t="shared" ca="1" si="32"/>
        <v>1.2212486017240167</v>
      </c>
      <c r="W104" s="304">
        <f t="shared" ca="1" si="33"/>
        <v>11.155498874743136</v>
      </c>
      <c r="Y104" s="314" t="str">
        <f t="shared" ca="1" si="51"/>
        <v/>
      </c>
      <c r="Z104" s="315" t="str">
        <f t="shared" ca="1" si="52"/>
        <v/>
      </c>
      <c r="AA104" s="316" t="str">
        <f t="shared" ca="1" si="53"/>
        <v/>
      </c>
      <c r="AC104" s="310">
        <f t="shared" ca="1" si="54"/>
        <v>1.0000000000000007</v>
      </c>
      <c r="AD104" s="323">
        <f t="shared" ca="1" si="55"/>
        <v>5.9199871170373131</v>
      </c>
      <c r="AE104" s="324">
        <f t="shared" ca="1" si="34"/>
        <v>30.670621729447941</v>
      </c>
      <c r="AG104" s="306">
        <f t="shared" ca="1" si="56"/>
        <v>63.145512253464105</v>
      </c>
      <c r="AH104" s="304">
        <f t="shared" ca="1" si="57"/>
        <v>72.75419177163424</v>
      </c>
    </row>
    <row r="105" spans="1:34" x14ac:dyDescent="0.25">
      <c r="A105" s="347">
        <f t="shared" ca="1" si="35"/>
        <v>0.01</v>
      </c>
      <c r="B105" s="304">
        <f t="shared" ca="1" si="36"/>
        <v>1.0100000000000007</v>
      </c>
      <c r="D105" s="306">
        <f t="shared" ca="1" si="37"/>
        <v>14.68076313284522</v>
      </c>
      <c r="E105" s="307">
        <f t="shared" ca="1" si="38"/>
        <v>61.42136795871653</v>
      </c>
      <c r="F105" s="304">
        <f t="shared" ca="1" si="39"/>
        <v>63.151478589837922</v>
      </c>
      <c r="G105" s="306">
        <f t="shared" ca="1" si="40"/>
        <v>12.913737584831429</v>
      </c>
      <c r="H105" s="307">
        <f t="shared" ca="1" si="41"/>
        <v>62.559623260273057</v>
      </c>
      <c r="I105" s="304">
        <f t="shared" ca="1" si="42"/>
        <v>63.878565112854453</v>
      </c>
      <c r="J105" s="306">
        <f t="shared" ca="1" si="43"/>
        <v>6.0483904547289855</v>
      </c>
      <c r="K105" s="307">
        <f t="shared" ca="1" si="44"/>
        <v>31.293146893652736</v>
      </c>
      <c r="L105" s="304">
        <f t="shared" ca="1" si="29"/>
        <v>31.872308821304184</v>
      </c>
      <c r="M105" s="306">
        <f t="shared" ca="1" si="45"/>
        <v>1.3672326181323438</v>
      </c>
      <c r="N105" s="304">
        <f t="shared" ca="1" si="46"/>
        <v>78.336658631605047</v>
      </c>
      <c r="P105" s="310">
        <f t="shared" ca="1" si="47"/>
        <v>6</v>
      </c>
      <c r="Q105" s="304">
        <f t="shared" ca="1" si="48"/>
        <v>1012.198245614035</v>
      </c>
      <c r="R105" s="306">
        <f t="shared" ca="1" si="49"/>
        <v>0.50704275563427448</v>
      </c>
      <c r="S105" s="307">
        <f t="shared" ca="1" si="50"/>
        <v>13.764108262973149</v>
      </c>
      <c r="T105" s="304">
        <f t="shared" ca="1" si="30"/>
        <v>135.02590205976659</v>
      </c>
      <c r="U105" s="311">
        <f t="shared" ca="1" si="31"/>
        <v>0</v>
      </c>
      <c r="V105" s="306">
        <f t="shared" ca="1" si="32"/>
        <v>1.2211725781093001</v>
      </c>
      <c r="W105" s="304">
        <f t="shared" ca="1" si="33"/>
        <v>11.378564887170587</v>
      </c>
      <c r="Y105" s="314" t="str">
        <f t="shared" ca="1" si="51"/>
        <v/>
      </c>
      <c r="Z105" s="315" t="str">
        <f t="shared" ca="1" si="52"/>
        <v/>
      </c>
      <c r="AA105" s="316" t="str">
        <f t="shared" ca="1" si="53"/>
        <v/>
      </c>
      <c r="AC105" s="310" t="e">
        <f t="shared" ca="1" si="54"/>
        <v>#N/A</v>
      </c>
      <c r="AD105" s="323" t="e">
        <f t="shared" ca="1" si="55"/>
        <v>#N/A</v>
      </c>
      <c r="AE105" s="324">
        <f t="shared" ca="1" si="34"/>
        <v>31.293146893652736</v>
      </c>
      <c r="AG105" s="306">
        <f t="shared" ca="1" si="56"/>
        <v>63.120424452765199</v>
      </c>
      <c r="AH105" s="304">
        <f t="shared" ca="1" si="57"/>
        <v>72.728485392126615</v>
      </c>
    </row>
    <row r="106" spans="1:34" x14ac:dyDescent="0.25">
      <c r="A106" s="347">
        <f t="shared" ca="1" si="35"/>
        <v>0.01</v>
      </c>
      <c r="B106" s="304">
        <f t="shared" ca="1" si="36"/>
        <v>1.0200000000000007</v>
      </c>
      <c r="D106" s="306">
        <f t="shared" ca="1" si="37"/>
        <v>14.697609767798104</v>
      </c>
      <c r="E106" s="307">
        <f t="shared" ca="1" si="38"/>
        <v>61.391456887275069</v>
      </c>
      <c r="F106" s="304">
        <f t="shared" ca="1" si="39"/>
        <v>63.126307603317237</v>
      </c>
      <c r="G106" s="306">
        <f t="shared" ca="1" si="40"/>
        <v>13.060713682509411</v>
      </c>
      <c r="H106" s="307">
        <f t="shared" ca="1" si="41"/>
        <v>63.173537829145808</v>
      </c>
      <c r="I106" s="304">
        <f t="shared" ca="1" si="42"/>
        <v>64.50951963661646</v>
      </c>
      <c r="J106" s="306">
        <f t="shared" ca="1" si="43"/>
        <v>6.17826271106569</v>
      </c>
      <c r="K106" s="307">
        <f t="shared" ca="1" si="44"/>
        <v>31.921812699099831</v>
      </c>
      <c r="L106" s="304">
        <f t="shared" ca="1" si="29"/>
        <v>32.514197762260046</v>
      </c>
      <c r="M106" s="306">
        <f t="shared" ca="1" si="45"/>
        <v>1.3669251911294653</v>
      </c>
      <c r="N106" s="304">
        <f t="shared" ca="1" si="46"/>
        <v>78.319044361831757</v>
      </c>
      <c r="P106" s="310">
        <f t="shared" ca="1" si="47"/>
        <v>6</v>
      </c>
      <c r="Q106" s="304">
        <f t="shared" ca="1" si="48"/>
        <v>1011.6964912280702</v>
      </c>
      <c r="R106" s="306">
        <f t="shared" ca="1" si="49"/>
        <v>0.50679141067530664</v>
      </c>
      <c r="S106" s="307">
        <f t="shared" ca="1" si="50"/>
        <v>13.759040348866396</v>
      </c>
      <c r="T106" s="304">
        <f t="shared" ca="1" si="30"/>
        <v>134.97618582237936</v>
      </c>
      <c r="U106" s="311">
        <f t="shared" ca="1" si="31"/>
        <v>0</v>
      </c>
      <c r="V106" s="306">
        <f t="shared" ca="1" si="32"/>
        <v>1.2210958093864357</v>
      </c>
      <c r="W106" s="304">
        <f t="shared" ca="1" si="33"/>
        <v>11.603726915105558</v>
      </c>
      <c r="Y106" s="314" t="str">
        <f t="shared" ca="1" si="51"/>
        <v/>
      </c>
      <c r="Z106" s="315" t="str">
        <f t="shared" ca="1" si="52"/>
        <v/>
      </c>
      <c r="AA106" s="316" t="str">
        <f t="shared" ca="1" si="53"/>
        <v/>
      </c>
      <c r="AC106" s="310" t="e">
        <f t="shared" ca="1" si="54"/>
        <v>#N/A</v>
      </c>
      <c r="AD106" s="323" t="e">
        <f t="shared" ca="1" si="55"/>
        <v>#N/A</v>
      </c>
      <c r="AE106" s="324">
        <f t="shared" ca="1" si="34"/>
        <v>31.921812699099831</v>
      </c>
      <c r="AG106" s="306">
        <f t="shared" ca="1" si="56"/>
        <v>63.095147532075202</v>
      </c>
      <c r="AH106" s="304">
        <f t="shared" ca="1" si="57"/>
        <v>72.702594147368387</v>
      </c>
    </row>
    <row r="107" spans="1:34" x14ac:dyDescent="0.25">
      <c r="A107" s="347">
        <f t="shared" ca="1" si="35"/>
        <v>0.01</v>
      </c>
      <c r="B107" s="304">
        <f t="shared" ca="1" si="36"/>
        <v>1.0300000000000007</v>
      </c>
      <c r="D107" s="306">
        <f t="shared" ca="1" si="37"/>
        <v>14.714218929487473</v>
      </c>
      <c r="E107" s="307">
        <f t="shared" ca="1" si="38"/>
        <v>61.361399110688708</v>
      </c>
      <c r="F107" s="304">
        <f t="shared" ca="1" si="39"/>
        <v>63.100947215759895</v>
      </c>
      <c r="G107" s="306">
        <f t="shared" ca="1" si="40"/>
        <v>13.207855871804286</v>
      </c>
      <c r="H107" s="307">
        <f t="shared" ca="1" si="41"/>
        <v>63.787151820252696</v>
      </c>
      <c r="I107" s="304">
        <f t="shared" ca="1" si="42"/>
        <v>65.140219481287616</v>
      </c>
      <c r="J107" s="306">
        <f t="shared" ca="1" si="43"/>
        <v>6.3096055588372586</v>
      </c>
      <c r="K107" s="307">
        <f t="shared" ca="1" si="44"/>
        <v>32.556616147346823</v>
      </c>
      <c r="L107" s="304">
        <f t="shared" ca="1" si="29"/>
        <v>33.162394022051451</v>
      </c>
      <c r="M107" s="306">
        <f t="shared" ca="1" si="45"/>
        <v>1.3666202872869535</v>
      </c>
      <c r="N107" s="304">
        <f t="shared" ca="1" si="46"/>
        <v>78.30157465849851</v>
      </c>
      <c r="P107" s="310">
        <f t="shared" ca="1" si="47"/>
        <v>6</v>
      </c>
      <c r="Q107" s="304">
        <f t="shared" ca="1" si="48"/>
        <v>1011.1947368421052</v>
      </c>
      <c r="R107" s="306">
        <f t="shared" ca="1" si="49"/>
        <v>0.50654006571633869</v>
      </c>
      <c r="S107" s="307">
        <f t="shared" ca="1" si="50"/>
        <v>13.753974948209233</v>
      </c>
      <c r="T107" s="304">
        <f t="shared" ca="1" si="30"/>
        <v>134.92649424193257</v>
      </c>
      <c r="U107" s="311">
        <f t="shared" ca="1" si="31"/>
        <v>0</v>
      </c>
      <c r="V107" s="306">
        <f t="shared" ca="1" si="32"/>
        <v>1.2210182960622857</v>
      </c>
      <c r="W107" s="304">
        <f t="shared" ca="1" si="33"/>
        <v>11.830980793600466</v>
      </c>
      <c r="Y107" s="314" t="str">
        <f t="shared" ca="1" si="51"/>
        <v/>
      </c>
      <c r="Z107" s="315" t="str">
        <f t="shared" ca="1" si="52"/>
        <v/>
      </c>
      <c r="AA107" s="316" t="str">
        <f t="shared" ca="1" si="53"/>
        <v/>
      </c>
      <c r="AC107" s="310" t="e">
        <f t="shared" ca="1" si="54"/>
        <v>#N/A</v>
      </c>
      <c r="AD107" s="323" t="e">
        <f t="shared" ca="1" si="55"/>
        <v>#N/A</v>
      </c>
      <c r="AE107" s="324">
        <f t="shared" ca="1" si="34"/>
        <v>32.556616147346823</v>
      </c>
      <c r="AG107" s="306">
        <f t="shared" ca="1" si="56"/>
        <v>63.069681674684404</v>
      </c>
      <c r="AH107" s="304">
        <f t="shared" ca="1" si="57"/>
        <v>72.676518147733447</v>
      </c>
    </row>
    <row r="108" spans="1:34" x14ac:dyDescent="0.25">
      <c r="A108" s="347">
        <f t="shared" ca="1" si="35"/>
        <v>0.01</v>
      </c>
      <c r="B108" s="304">
        <f t="shared" ca="1" si="36"/>
        <v>1.0400000000000007</v>
      </c>
      <c r="D108" s="306">
        <f t="shared" ca="1" si="37"/>
        <v>14.730594060519637</v>
      </c>
      <c r="E108" s="307">
        <f t="shared" ca="1" si="38"/>
        <v>61.331194215084949</v>
      </c>
      <c r="F108" s="304">
        <f t="shared" ca="1" si="39"/>
        <v>63.075397622403344</v>
      </c>
      <c r="G108" s="306">
        <f t="shared" ca="1" si="40"/>
        <v>13.355161812409483</v>
      </c>
      <c r="H108" s="307">
        <f t="shared" ca="1" si="41"/>
        <v>64.400463762403547</v>
      </c>
      <c r="I108" s="304">
        <f t="shared" ca="1" si="42"/>
        <v>65.770662759685578</v>
      </c>
      <c r="J108" s="306">
        <f t="shared" ca="1" si="43"/>
        <v>6.4424206472583272</v>
      </c>
      <c r="K108" s="307">
        <f t="shared" ca="1" si="44"/>
        <v>33.197554225260106</v>
      </c>
      <c r="L108" s="304">
        <f t="shared" ca="1" si="29"/>
        <v>33.816895042793412</v>
      </c>
      <c r="M108" s="306">
        <f t="shared" ca="1" si="45"/>
        <v>1.3663178607479367</v>
      </c>
      <c r="N108" s="304">
        <f t="shared" ca="1" si="46"/>
        <v>78.284246894200095</v>
      </c>
      <c r="P108" s="310">
        <f t="shared" ca="1" si="47"/>
        <v>6</v>
      </c>
      <c r="Q108" s="304">
        <f t="shared" ca="1" si="48"/>
        <v>1010.6929824561403</v>
      </c>
      <c r="R108" s="306">
        <f t="shared" ca="1" si="49"/>
        <v>0.50628872075737075</v>
      </c>
      <c r="S108" s="307">
        <f t="shared" ca="1" si="50"/>
        <v>13.74891206100166</v>
      </c>
      <c r="T108" s="304">
        <f t="shared" ca="1" si="30"/>
        <v>134.87682731842628</v>
      </c>
      <c r="U108" s="311">
        <f t="shared" ca="1" si="31"/>
        <v>0</v>
      </c>
      <c r="V108" s="306">
        <f t="shared" ca="1" si="32"/>
        <v>1.2209400386467648</v>
      </c>
      <c r="W108" s="304">
        <f t="shared" ca="1" si="33"/>
        <v>12.06032232635612</v>
      </c>
      <c r="Y108" s="314" t="str">
        <f t="shared" ca="1" si="51"/>
        <v/>
      </c>
      <c r="Z108" s="315" t="str">
        <f t="shared" ca="1" si="52"/>
        <v/>
      </c>
      <c r="AA108" s="316" t="str">
        <f t="shared" ca="1" si="53"/>
        <v/>
      </c>
      <c r="AC108" s="310" t="e">
        <f t="shared" ca="1" si="54"/>
        <v>#N/A</v>
      </c>
      <c r="AD108" s="323" t="e">
        <f t="shared" ca="1" si="55"/>
        <v>#N/A</v>
      </c>
      <c r="AE108" s="324">
        <f t="shared" ca="1" si="34"/>
        <v>33.197554225260106</v>
      </c>
      <c r="AG108" s="306">
        <f t="shared" ca="1" si="56"/>
        <v>63.044027064602261</v>
      </c>
      <c r="AH108" s="304">
        <f t="shared" ca="1" si="57"/>
        <v>72.650257506248749</v>
      </c>
    </row>
    <row r="109" spans="1:34" x14ac:dyDescent="0.25">
      <c r="A109" s="347">
        <f t="shared" ca="1" si="35"/>
        <v>0.01</v>
      </c>
      <c r="B109" s="304">
        <f t="shared" ca="1" si="36"/>
        <v>1.0500000000000007</v>
      </c>
      <c r="D109" s="306">
        <f t="shared" ca="1" si="37"/>
        <v>14.74673850801541</v>
      </c>
      <c r="E109" s="307">
        <f t="shared" ca="1" si="38"/>
        <v>61.300841803252311</v>
      </c>
      <c r="F109" s="304">
        <f t="shared" ca="1" si="39"/>
        <v>63.049659018991932</v>
      </c>
      <c r="G109" s="306">
        <f t="shared" ca="1" si="40"/>
        <v>13.502629197489636</v>
      </c>
      <c r="H109" s="307">
        <f t="shared" ca="1" si="41"/>
        <v>65.013472180436068</v>
      </c>
      <c r="I109" s="304">
        <f t="shared" ca="1" si="42"/>
        <v>66.400847586467108</v>
      </c>
      <c r="J109" s="306">
        <f t="shared" ca="1" si="43"/>
        <v>6.5767096023078224</v>
      </c>
      <c r="K109" s="307">
        <f t="shared" ca="1" si="44"/>
        <v>33.844623904974306</v>
      </c>
      <c r="L109" s="304">
        <f t="shared" ca="1" si="29"/>
        <v>34.47769824774047</v>
      </c>
      <c r="M109" s="306">
        <f t="shared" ca="1" si="45"/>
        <v>1.3660178669149203</v>
      </c>
      <c r="N109" s="304">
        <f t="shared" ca="1" si="46"/>
        <v>78.267058513688312</v>
      </c>
      <c r="P109" s="310">
        <f t="shared" ca="1" si="47"/>
        <v>6</v>
      </c>
      <c r="Q109" s="304">
        <f t="shared" ca="1" si="48"/>
        <v>1010.1912280701754</v>
      </c>
      <c r="R109" s="306">
        <f t="shared" ca="1" si="49"/>
        <v>0.50603737579840291</v>
      </c>
      <c r="S109" s="307">
        <f t="shared" ca="1" si="50"/>
        <v>13.743851687243675</v>
      </c>
      <c r="T109" s="304">
        <f t="shared" ca="1" si="30"/>
        <v>134.82718505186045</v>
      </c>
      <c r="U109" s="311">
        <f t="shared" ca="1" si="31"/>
        <v>0</v>
      </c>
      <c r="V109" s="306">
        <f t="shared" ca="1" si="32"/>
        <v>1.2208610376528408</v>
      </c>
      <c r="W109" s="304">
        <f t="shared" ca="1" si="33"/>
        <v>12.291747285824135</v>
      </c>
      <c r="Y109" s="314" t="str">
        <f t="shared" ca="1" si="51"/>
        <v/>
      </c>
      <c r="Z109" s="315" t="str">
        <f t="shared" ca="1" si="52"/>
        <v/>
      </c>
      <c r="AA109" s="316" t="str">
        <f t="shared" ca="1" si="53"/>
        <v/>
      </c>
      <c r="AC109" s="310" t="e">
        <f t="shared" ca="1" si="54"/>
        <v>#N/A</v>
      </c>
      <c r="AD109" s="323" t="e">
        <f t="shared" ca="1" si="55"/>
        <v>#N/A</v>
      </c>
      <c r="AE109" s="324">
        <f t="shared" ca="1" si="34"/>
        <v>33.844623904974306</v>
      </c>
      <c r="AG109" s="306">
        <f t="shared" ca="1" si="56"/>
        <v>63.018183886624286</v>
      </c>
      <c r="AH109" s="304">
        <f t="shared" ca="1" si="57"/>
        <v>72.623812338591534</v>
      </c>
    </row>
    <row r="110" spans="1:34" x14ac:dyDescent="0.25">
      <c r="A110" s="347">
        <f t="shared" ca="1" si="35"/>
        <v>0.01</v>
      </c>
      <c r="B110" s="304">
        <f t="shared" ca="1" si="36"/>
        <v>1.0600000000000007</v>
      </c>
      <c r="D110" s="306">
        <f t="shared" ca="1" si="37"/>
        <v>14.762655527188263</v>
      </c>
      <c r="E110" s="307">
        <f t="shared" ca="1" si="38"/>
        <v>61.270341494133064</v>
      </c>
      <c r="F110" s="304">
        <f t="shared" ca="1" si="39"/>
        <v>63.023731601850635</v>
      </c>
      <c r="G110" s="306">
        <f t="shared" ca="1" si="40"/>
        <v>13.650255752761518</v>
      </c>
      <c r="H110" s="307">
        <f t="shared" ca="1" si="41"/>
        <v>65.626175595377404</v>
      </c>
      <c r="I110" s="304">
        <f t="shared" ca="1" si="42"/>
        <v>67.030772078136678</v>
      </c>
      <c r="J110" s="306">
        <f t="shared" ca="1" si="43"/>
        <v>6.7124740270590779</v>
      </c>
      <c r="K110" s="307">
        <f t="shared" ca="1" si="44"/>
        <v>34.497822143853369</v>
      </c>
      <c r="L110" s="304">
        <f t="shared" ca="1" si="29"/>
        <v>35.144801041304568</v>
      </c>
      <c r="M110" s="306">
        <f t="shared" ca="1" si="45"/>
        <v>1.3657202624034934</v>
      </c>
      <c r="N110" s="304">
        <f t="shared" ca="1" si="46"/>
        <v>78.250007031219496</v>
      </c>
      <c r="P110" s="310">
        <f t="shared" ca="1" si="47"/>
        <v>6</v>
      </c>
      <c r="Q110" s="304">
        <f t="shared" ca="1" si="48"/>
        <v>1009.6894736842105</v>
      </c>
      <c r="R110" s="306">
        <f t="shared" ca="1" si="49"/>
        <v>0.50578603083943507</v>
      </c>
      <c r="S110" s="307">
        <f t="shared" ca="1" si="50"/>
        <v>13.738793826935281</v>
      </c>
      <c r="T110" s="304">
        <f t="shared" ca="1" si="30"/>
        <v>134.7775674422351</v>
      </c>
      <c r="U110" s="311">
        <f t="shared" ca="1" si="31"/>
        <v>0</v>
      </c>
      <c r="V110" s="306">
        <f t="shared" ca="1" si="32"/>
        <v>1.2207812935965372</v>
      </c>
      <c r="W110" s="304">
        <f t="shared" ca="1" si="33"/>
        <v>12.525251413310025</v>
      </c>
      <c r="Y110" s="314" t="str">
        <f t="shared" ca="1" si="51"/>
        <v/>
      </c>
      <c r="Z110" s="315" t="str">
        <f t="shared" ca="1" si="52"/>
        <v/>
      </c>
      <c r="AA110" s="316" t="str">
        <f t="shared" ca="1" si="53"/>
        <v/>
      </c>
      <c r="AC110" s="310" t="e">
        <f t="shared" ca="1" si="54"/>
        <v>#N/A</v>
      </c>
      <c r="AD110" s="323" t="e">
        <f t="shared" ca="1" si="55"/>
        <v>#N/A</v>
      </c>
      <c r="AE110" s="324">
        <f t="shared" ca="1" si="34"/>
        <v>34.497822143853369</v>
      </c>
      <c r="AG110" s="306">
        <f t="shared" ca="1" si="56"/>
        <v>62.992152326395882</v>
      </c>
      <c r="AH110" s="304">
        <f t="shared" ca="1" si="57"/>
        <v>72.597182763086593</v>
      </c>
    </row>
    <row r="111" spans="1:34" x14ac:dyDescent="0.25">
      <c r="A111" s="347">
        <f t="shared" ca="1" si="35"/>
        <v>0.01</v>
      </c>
      <c r="B111" s="304">
        <f t="shared" ca="1" si="36"/>
        <v>1.0700000000000007</v>
      </c>
      <c r="D111" s="306">
        <f t="shared" ca="1" si="37"/>
        <v>14.778348284756751</v>
      </c>
      <c r="E111" s="307">
        <f t="shared" ca="1" si="38"/>
        <v>61.239692922338577</v>
      </c>
      <c r="F111" s="304">
        <f t="shared" ca="1" si="39"/>
        <v>62.997615567955414</v>
      </c>
      <c r="G111" s="306">
        <f t="shared" ca="1" si="40"/>
        <v>13.798039235609085</v>
      </c>
      <c r="H111" s="307">
        <f t="shared" ca="1" si="41"/>
        <v>66.238572524600784</v>
      </c>
      <c r="I111" s="304">
        <f t="shared" ca="1" si="42"/>
        <v>67.660434353056033</v>
      </c>
      <c r="J111" s="306">
        <f t="shared" ca="1" si="43"/>
        <v>6.8497155020009313</v>
      </c>
      <c r="K111" s="307">
        <f t="shared" ca="1" si="44"/>
        <v>35.157145884453257</v>
      </c>
      <c r="L111" s="304">
        <f t="shared" ca="1" si="29"/>
        <v>35.818200809073041</v>
      </c>
      <c r="M111" s="306">
        <f t="shared" ca="1" si="45"/>
        <v>1.3654250049981609</v>
      </c>
      <c r="N111" s="304">
        <f t="shared" ca="1" si="46"/>
        <v>78.233090028023952</v>
      </c>
      <c r="P111" s="310">
        <f t="shared" ca="1" si="47"/>
        <v>6</v>
      </c>
      <c r="Q111" s="304">
        <f t="shared" ca="1" si="48"/>
        <v>1009.1877192982456</v>
      </c>
      <c r="R111" s="306">
        <f t="shared" ca="1" si="49"/>
        <v>0.50553468588046713</v>
      </c>
      <c r="S111" s="307">
        <f t="shared" ca="1" si="50"/>
        <v>13.733738480076475</v>
      </c>
      <c r="T111" s="304">
        <f t="shared" ca="1" si="30"/>
        <v>134.72797448955023</v>
      </c>
      <c r="U111" s="311">
        <f t="shared" ca="1" si="31"/>
        <v>0</v>
      </c>
      <c r="V111" s="306">
        <f t="shared" ca="1" si="32"/>
        <v>1.2207008069969345</v>
      </c>
      <c r="W111" s="304">
        <f t="shared" ca="1" si="33"/>
        <v>12.760830419077234</v>
      </c>
      <c r="Y111" s="314" t="str">
        <f t="shared" ca="1" si="51"/>
        <v/>
      </c>
      <c r="Z111" s="315" t="str">
        <f t="shared" ca="1" si="52"/>
        <v/>
      </c>
      <c r="AA111" s="316" t="str">
        <f t="shared" ca="1" si="53"/>
        <v/>
      </c>
      <c r="AC111" s="310" t="e">
        <f t="shared" ca="1" si="54"/>
        <v>#N/A</v>
      </c>
      <c r="AD111" s="323" t="e">
        <f t="shared" ca="1" si="55"/>
        <v>#N/A</v>
      </c>
      <c r="AE111" s="324">
        <f t="shared" ca="1" si="34"/>
        <v>35.157145884453257</v>
      </c>
      <c r="AG111" s="306">
        <f t="shared" ca="1" si="56"/>
        <v>62.965932570472972</v>
      </c>
      <c r="AH111" s="304">
        <f t="shared" ca="1" si="57"/>
        <v>72.570368900703414</v>
      </c>
    </row>
    <row r="112" spans="1:34" x14ac:dyDescent="0.25">
      <c r="A112" s="347">
        <f t="shared" ca="1" si="35"/>
        <v>0.01</v>
      </c>
      <c r="B112" s="304">
        <f t="shared" ca="1" si="36"/>
        <v>1.0800000000000007</v>
      </c>
      <c r="D112" s="306">
        <f t="shared" ca="1" si="37"/>
        <v>14.793819862200101</v>
      </c>
      <c r="E112" s="307">
        <f t="shared" ca="1" si="38"/>
        <v>61.208895737685879</v>
      </c>
      <c r="F112" s="304">
        <f t="shared" ca="1" si="39"/>
        <v>62.971311115000034</v>
      </c>
      <c r="G112" s="306">
        <f t="shared" ca="1" si="40"/>
        <v>13.945977434231086</v>
      </c>
      <c r="H112" s="307">
        <f t="shared" ca="1" si="41"/>
        <v>66.850661481977639</v>
      </c>
      <c r="I112" s="304">
        <f t="shared" ca="1" si="42"/>
        <v>68.289832531454138</v>
      </c>
      <c r="J112" s="306">
        <f t="shared" ca="1" si="43"/>
        <v>6.9884355853501319</v>
      </c>
      <c r="K112" s="307">
        <f t="shared" ca="1" si="44"/>
        <v>35.822592054486151</v>
      </c>
      <c r="L112" s="304">
        <f t="shared" ca="1" si="29"/>
        <v>36.497894917826734</v>
      </c>
      <c r="M112" s="306">
        <f t="shared" ca="1" si="45"/>
        <v>1.3651320536101819</v>
      </c>
      <c r="N112" s="304">
        <f t="shared" ca="1" si="46"/>
        <v>78.21630514989026</v>
      </c>
      <c r="P112" s="310">
        <f t="shared" ca="1" si="47"/>
        <v>6</v>
      </c>
      <c r="Q112" s="304">
        <f t="shared" ca="1" si="48"/>
        <v>1008.6859649122806</v>
      </c>
      <c r="R112" s="306">
        <f t="shared" ca="1" si="49"/>
        <v>0.50528334092149918</v>
      </c>
      <c r="S112" s="307">
        <f t="shared" ca="1" si="50"/>
        <v>13.728685646667261</v>
      </c>
      <c r="T112" s="304">
        <f t="shared" ca="1" si="30"/>
        <v>134.67840619380584</v>
      </c>
      <c r="U112" s="311">
        <f t="shared" ca="1" si="31"/>
        <v>0</v>
      </c>
      <c r="V112" s="306">
        <f t="shared" ca="1" si="32"/>
        <v>1.2206195783761684</v>
      </c>
      <c r="W112" s="304">
        <f t="shared" ca="1" si="33"/>
        <v>12.998479982451904</v>
      </c>
      <c r="Y112" s="314" t="str">
        <f t="shared" ca="1" si="51"/>
        <v/>
      </c>
      <c r="Z112" s="315" t="str">
        <f t="shared" ca="1" si="52"/>
        <v/>
      </c>
      <c r="AA112" s="316" t="str">
        <f t="shared" ca="1" si="53"/>
        <v/>
      </c>
      <c r="AC112" s="310" t="e">
        <f t="shared" ca="1" si="54"/>
        <v>#N/A</v>
      </c>
      <c r="AD112" s="323" t="e">
        <f t="shared" ca="1" si="55"/>
        <v>#N/A</v>
      </c>
      <c r="AE112" s="324">
        <f t="shared" ca="1" si="34"/>
        <v>35.822592054486151</v>
      </c>
      <c r="AG112" s="306">
        <f t="shared" ca="1" si="56"/>
        <v>62.939524806379829</v>
      </c>
      <c r="AH112" s="304">
        <f t="shared" ca="1" si="57"/>
        <v>72.543370875053256</v>
      </c>
    </row>
    <row r="113" spans="1:34" x14ac:dyDescent="0.25">
      <c r="A113" s="347">
        <f t="shared" ca="1" si="35"/>
        <v>0.01</v>
      </c>
      <c r="B113" s="304">
        <f t="shared" ca="1" si="36"/>
        <v>1.0900000000000007</v>
      </c>
      <c r="D113" s="306">
        <f t="shared" ca="1" si="37"/>
        <v>14.809073258865752</v>
      </c>
      <c r="E113" s="307">
        <f t="shared" ca="1" si="38"/>
        <v>61.177949604754659</v>
      </c>
      <c r="F113" s="304">
        <f t="shared" ca="1" si="39"/>
        <v>62.944818441459923</v>
      </c>
      <c r="G113" s="306">
        <f t="shared" ca="1" si="40"/>
        <v>14.094068166819744</v>
      </c>
      <c r="H113" s="307">
        <f t="shared" ca="1" si="41"/>
        <v>67.462440978025185</v>
      </c>
      <c r="I113" s="304">
        <f t="shared" ca="1" si="42"/>
        <v>68.918964735437612</v>
      </c>
      <c r="J113" s="306">
        <f t="shared" ca="1" si="43"/>
        <v>7.1286358133553858</v>
      </c>
      <c r="K113" s="307">
        <f t="shared" ca="1" si="44"/>
        <v>36.494157566786164</v>
      </c>
      <c r="L113" s="304">
        <f t="shared" ca="1" si="29"/>
        <v>37.183880715558303</v>
      </c>
      <c r="M113" s="306">
        <f t="shared" ca="1" si="45"/>
        <v>1.3648413682373044</v>
      </c>
      <c r="N113" s="304">
        <f t="shared" ca="1" si="46"/>
        <v>78.199650104858193</v>
      </c>
      <c r="P113" s="310">
        <f t="shared" ca="1" si="47"/>
        <v>6</v>
      </c>
      <c r="Q113" s="304">
        <f t="shared" ca="1" si="48"/>
        <v>1008.1842105263157</v>
      </c>
      <c r="R113" s="306">
        <f t="shared" ca="1" si="49"/>
        <v>0.50503199596253134</v>
      </c>
      <c r="S113" s="307">
        <f t="shared" ca="1" si="50"/>
        <v>13.723635326707635</v>
      </c>
      <c r="T113" s="304">
        <f t="shared" ca="1" si="30"/>
        <v>134.62886255500192</v>
      </c>
      <c r="U113" s="311">
        <f t="shared" ca="1" si="31"/>
        <v>0</v>
      </c>
      <c r="V113" s="306">
        <f t="shared" ca="1" si="32"/>
        <v>1.2205376082594339</v>
      </c>
      <c r="W113" s="304">
        <f t="shared" ca="1" si="33"/>
        <v>13.238195751928512</v>
      </c>
      <c r="Y113" s="314" t="str">
        <f t="shared" ca="1" si="51"/>
        <v/>
      </c>
      <c r="Z113" s="315" t="str">
        <f t="shared" ca="1" si="52"/>
        <v/>
      </c>
      <c r="AA113" s="316" t="str">
        <f t="shared" ca="1" si="53"/>
        <v/>
      </c>
      <c r="AC113" s="310" t="e">
        <f t="shared" ca="1" si="54"/>
        <v>#N/A</v>
      </c>
      <c r="AD113" s="323" t="e">
        <f t="shared" ca="1" si="55"/>
        <v>#N/A</v>
      </c>
      <c r="AE113" s="324">
        <f t="shared" ca="1" si="34"/>
        <v>36.494157566786164</v>
      </c>
      <c r="AG113" s="306">
        <f t="shared" ca="1" si="56"/>
        <v>62.912929222664097</v>
      </c>
      <c r="AH113" s="304">
        <f t="shared" ca="1" si="57"/>
        <v>72.516188812386162</v>
      </c>
    </row>
    <row r="114" spans="1:34" x14ac:dyDescent="0.25">
      <c r="A114" s="347">
        <f t="shared" ca="1" si="35"/>
        <v>0.01</v>
      </c>
      <c r="B114" s="304">
        <f t="shared" ca="1" si="36"/>
        <v>1.1000000000000008</v>
      </c>
      <c r="D114" s="306">
        <f t="shared" ca="1" si="37"/>
        <v>14.824111394936969</v>
      </c>
      <c r="E114" s="307">
        <f t="shared" ca="1" si="38"/>
        <v>61.14685420246316</v>
      </c>
      <c r="F114" s="304">
        <f t="shared" ca="1" si="39"/>
        <v>62.918137746652882</v>
      </c>
      <c r="G114" s="306">
        <f t="shared" ca="1" si="40"/>
        <v>14.242309280769113</v>
      </c>
      <c r="H114" s="307">
        <f t="shared" ca="1" si="41"/>
        <v>68.07390952004981</v>
      </c>
      <c r="I114" s="304">
        <f t="shared" ca="1" si="42"/>
        <v>69.547829089001837</v>
      </c>
      <c r="J114" s="306">
        <f t="shared" ca="1" si="43"/>
        <v>7.2703177005933304</v>
      </c>
      <c r="K114" s="307">
        <f t="shared" ca="1" si="44"/>
        <v>37.171839319276536</v>
      </c>
      <c r="L114" s="304">
        <f t="shared" ca="1" si="29"/>
        <v>37.876155531490703</v>
      </c>
      <c r="M114" s="306">
        <f t="shared" ca="1" si="45"/>
        <v>1.3645529099252987</v>
      </c>
      <c r="N114" s="304">
        <f t="shared" ca="1" si="46"/>
        <v>78.183122661014792</v>
      </c>
      <c r="P114" s="310">
        <f t="shared" ca="1" si="47"/>
        <v>6</v>
      </c>
      <c r="Q114" s="304">
        <f t="shared" ca="1" si="48"/>
        <v>1007.6824561403508</v>
      </c>
      <c r="R114" s="306">
        <f t="shared" ca="1" si="49"/>
        <v>0.50478065100356351</v>
      </c>
      <c r="S114" s="307">
        <f t="shared" ca="1" si="50"/>
        <v>13.7185875201976</v>
      </c>
      <c r="T114" s="304">
        <f t="shared" ca="1" si="30"/>
        <v>134.57934357313846</v>
      </c>
      <c r="U114" s="311">
        <f t="shared" ca="1" si="31"/>
        <v>0</v>
      </c>
      <c r="V114" s="306">
        <f t="shared" ca="1" si="32"/>
        <v>1.220454897174984</v>
      </c>
      <c r="W114" s="304">
        <f t="shared" ca="1" si="33"/>
        <v>13.479973345276308</v>
      </c>
      <c r="Y114" s="314" t="str">
        <f t="shared" ca="1" si="51"/>
        <v/>
      </c>
      <c r="Z114" s="315" t="str">
        <f t="shared" ca="1" si="52"/>
        <v/>
      </c>
      <c r="AA114" s="316" t="str">
        <f t="shared" ca="1" si="53"/>
        <v/>
      </c>
      <c r="AC114" s="310" t="e">
        <f t="shared" ca="1" si="54"/>
        <v>#N/A</v>
      </c>
      <c r="AD114" s="323" t="e">
        <f t="shared" ca="1" si="55"/>
        <v>#N/A</v>
      </c>
      <c r="AE114" s="324">
        <f t="shared" ca="1" si="34"/>
        <v>37.171839319276536</v>
      </c>
      <c r="AG114" s="306">
        <f t="shared" ca="1" si="56"/>
        <v>62.88614600894924</v>
      </c>
      <c r="AH114" s="304">
        <f t="shared" ca="1" si="57"/>
        <v>72.48882284158789</v>
      </c>
    </row>
    <row r="115" spans="1:34" x14ac:dyDescent="0.25">
      <c r="A115" s="347">
        <f t="shared" ca="1" si="35"/>
        <v>0.01</v>
      </c>
      <c r="B115" s="304">
        <f t="shared" ca="1" si="36"/>
        <v>1.1100000000000008</v>
      </c>
      <c r="D115" s="306">
        <f t="shared" ca="1" si="37"/>
        <v>14.838937114267729</v>
      </c>
      <c r="E115" s="307">
        <f t="shared" ca="1" si="38"/>
        <v>61.115609223662403</v>
      </c>
      <c r="F115" s="304">
        <f t="shared" ca="1" si="39"/>
        <v>62.891269230797064</v>
      </c>
      <c r="G115" s="306">
        <f t="shared" ca="1" si="40"/>
        <v>14.390698651911791</v>
      </c>
      <c r="H115" s="307">
        <f t="shared" ca="1" si="41"/>
        <v>68.685065612286436</v>
      </c>
      <c r="I115" s="304">
        <f t="shared" ca="1" si="42"/>
        <v>70.176423718042429</v>
      </c>
      <c r="J115" s="306">
        <f t="shared" ca="1" si="43"/>
        <v>7.4134827402567351</v>
      </c>
      <c r="K115" s="307">
        <f t="shared" ca="1" si="44"/>
        <v>37.855634194938219</v>
      </c>
      <c r="L115" s="304">
        <f t="shared" ca="1" si="29"/>
        <v>38.574716676095761</v>
      </c>
      <c r="M115" s="306">
        <f t="shared" ca="1" si="45"/>
        <v>1.3642666407311883</v>
      </c>
      <c r="N115" s="304">
        <f t="shared" ca="1" si="46"/>
        <v>78.166720644387667</v>
      </c>
      <c r="P115" s="310">
        <f t="shared" ca="1" si="47"/>
        <v>6</v>
      </c>
      <c r="Q115" s="304">
        <f t="shared" ca="1" si="48"/>
        <v>1007.180701754386</v>
      </c>
      <c r="R115" s="306">
        <f t="shared" ca="1" si="49"/>
        <v>0.50452930604459556</v>
      </c>
      <c r="S115" s="307">
        <f t="shared" ca="1" si="50"/>
        <v>13.713542227137154</v>
      </c>
      <c r="T115" s="304">
        <f t="shared" ca="1" si="30"/>
        <v>134.5298492482155</v>
      </c>
      <c r="U115" s="311">
        <f t="shared" ca="1" si="31"/>
        <v>0</v>
      </c>
      <c r="V115" s="306">
        <f t="shared" ca="1" si="32"/>
        <v>1.2203714456541288</v>
      </c>
      <c r="W115" s="304">
        <f t="shared" ca="1" si="33"/>
        <v>13.723808349646564</v>
      </c>
      <c r="Y115" s="314" t="str">
        <f t="shared" ca="1" si="51"/>
        <v/>
      </c>
      <c r="Z115" s="315" t="str">
        <f t="shared" ca="1" si="52"/>
        <v/>
      </c>
      <c r="AA115" s="316" t="str">
        <f t="shared" ca="1" si="53"/>
        <v/>
      </c>
      <c r="AC115" s="310" t="e">
        <f t="shared" ca="1" si="54"/>
        <v>#N/A</v>
      </c>
      <c r="AD115" s="323" t="e">
        <f t="shared" ca="1" si="55"/>
        <v>#N/A</v>
      </c>
      <c r="AE115" s="324">
        <f t="shared" ca="1" si="34"/>
        <v>37.855634194938219</v>
      </c>
      <c r="AG115" s="306">
        <f t="shared" ca="1" si="56"/>
        <v>62.859175355984412</v>
      </c>
      <c r="AH115" s="304">
        <f t="shared" ca="1" si="57"/>
        <v>72.461273094176704</v>
      </c>
    </row>
    <row r="116" spans="1:34" x14ac:dyDescent="0.25">
      <c r="A116" s="347">
        <f t="shared" ca="1" si="35"/>
        <v>0.01</v>
      </c>
      <c r="B116" s="304">
        <f t="shared" ca="1" si="36"/>
        <v>1.1200000000000008</v>
      </c>
      <c r="D116" s="306">
        <f t="shared" ca="1" si="37"/>
        <v>14.853553187092352</v>
      </c>
      <c r="E116" s="307">
        <f t="shared" ca="1" si="38"/>
        <v>61.084214374747532</v>
      </c>
      <c r="F116" s="304">
        <f t="shared" ca="1" si="39"/>
        <v>62.864213095066212</v>
      </c>
      <c r="G116" s="306">
        <f t="shared" ca="1" si="40"/>
        <v>14.539234183782714</v>
      </c>
      <c r="H116" s="307">
        <f t="shared" ca="1" si="41"/>
        <v>69.295907756033913</v>
      </c>
      <c r="I116" s="304">
        <f t="shared" ca="1" si="42"/>
        <v>70.804746750367215</v>
      </c>
      <c r="J116" s="306">
        <f t="shared" ca="1" si="43"/>
        <v>7.5581324044352076</v>
      </c>
      <c r="K116" s="307">
        <f t="shared" ca="1" si="44"/>
        <v>38.54553906177982</v>
      </c>
      <c r="L116" s="304">
        <f t="shared" ca="1" si="29"/>
        <v>39.279561441112953</v>
      </c>
      <c r="M116" s="306">
        <f t="shared" ca="1" si="45"/>
        <v>1.3639825236880927</v>
      </c>
      <c r="N116" s="304">
        <f t="shared" ca="1" si="46"/>
        <v>78.150441936930548</v>
      </c>
      <c r="P116" s="310">
        <f t="shared" ca="1" si="47"/>
        <v>6</v>
      </c>
      <c r="Q116" s="304">
        <f t="shared" ca="1" si="48"/>
        <v>1006.6789473684209</v>
      </c>
      <c r="R116" s="306">
        <f t="shared" ca="1" si="49"/>
        <v>0.50427796108562761</v>
      </c>
      <c r="S116" s="307">
        <f t="shared" ca="1" si="50"/>
        <v>13.708499447526298</v>
      </c>
      <c r="T116" s="304">
        <f t="shared" ca="1" si="30"/>
        <v>134.48037958023301</v>
      </c>
      <c r="U116" s="311">
        <f t="shared" ca="1" si="31"/>
        <v>0</v>
      </c>
      <c r="V116" s="306">
        <f t="shared" ca="1" si="32"/>
        <v>1.220287254231238</v>
      </c>
      <c r="W116" s="304">
        <f t="shared" ca="1" si="33"/>
        <v>13.969696321680679</v>
      </c>
      <c r="Y116" s="314" t="str">
        <f t="shared" ca="1" si="51"/>
        <v/>
      </c>
      <c r="Z116" s="315" t="str">
        <f t="shared" ca="1" si="52"/>
        <v/>
      </c>
      <c r="AA116" s="316" t="str">
        <f t="shared" ca="1" si="53"/>
        <v/>
      </c>
      <c r="AC116" s="310" t="e">
        <f t="shared" ca="1" si="54"/>
        <v>#N/A</v>
      </c>
      <c r="AD116" s="323" t="e">
        <f t="shared" ca="1" si="55"/>
        <v>#N/A</v>
      </c>
      <c r="AE116" s="324">
        <f t="shared" ca="1" si="34"/>
        <v>38.54553906177982</v>
      </c>
      <c r="AG116" s="306">
        <f t="shared" ca="1" si="56"/>
        <v>62.83201745569221</v>
      </c>
      <c r="AH116" s="304">
        <f t="shared" ca="1" si="57"/>
        <v>72.433539704300259</v>
      </c>
    </row>
    <row r="117" spans="1:34" x14ac:dyDescent="0.25">
      <c r="A117" s="347">
        <f t="shared" ca="1" si="35"/>
        <v>0.01</v>
      </c>
      <c r="B117" s="304">
        <f t="shared" ca="1" si="36"/>
        <v>1.1300000000000008</v>
      </c>
      <c r="D117" s="306">
        <f t="shared" ca="1" si="37"/>
        <v>14.867962312616239</v>
      </c>
      <c r="E117" s="307">
        <f t="shared" ca="1" si="38"/>
        <v>61.052669375285546</v>
      </c>
      <c r="F117" s="304">
        <f t="shared" ca="1" si="39"/>
        <v>62.836969541642496</v>
      </c>
      <c r="G117" s="306">
        <f t="shared" ca="1" si="40"/>
        <v>14.687913806908876</v>
      </c>
      <c r="H117" s="307">
        <f t="shared" ca="1" si="41"/>
        <v>69.906434449786772</v>
      </c>
      <c r="I117" s="304">
        <f t="shared" ca="1" si="42"/>
        <v>71.432796315708643</v>
      </c>
      <c r="J117" s="306">
        <f t="shared" ca="1" si="43"/>
        <v>7.7042681443886654</v>
      </c>
      <c r="K117" s="307">
        <f t="shared" ca="1" si="44"/>
        <v>39.241550772808921</v>
      </c>
      <c r="L117" s="304">
        <f t="shared" ca="1" si="29"/>
        <v>39.990687099568348</v>
      </c>
      <c r="M117" s="306">
        <f t="shared" ca="1" si="45"/>
        <v>1.3637005227715953</v>
      </c>
      <c r="N117" s="304">
        <f t="shared" ca="1" si="46"/>
        <v>78.134284474596427</v>
      </c>
      <c r="P117" s="310">
        <f t="shared" ca="1" si="47"/>
        <v>6</v>
      </c>
      <c r="Q117" s="304">
        <f t="shared" ca="1" si="48"/>
        <v>1006.1771929824561</v>
      </c>
      <c r="R117" s="306">
        <f t="shared" ca="1" si="49"/>
        <v>0.50402661612665978</v>
      </c>
      <c r="S117" s="307">
        <f t="shared" ca="1" si="50"/>
        <v>13.703459181365032</v>
      </c>
      <c r="T117" s="304">
        <f t="shared" ca="1" si="30"/>
        <v>134.43093456919098</v>
      </c>
      <c r="U117" s="311">
        <f t="shared" ca="1" si="31"/>
        <v>0</v>
      </c>
      <c r="V117" s="306">
        <f t="shared" ca="1" si="32"/>
        <v>1.22020232344374</v>
      </c>
      <c r="W117" s="304">
        <f t="shared" ca="1" si="33"/>
        <v>14.217632787619062</v>
      </c>
      <c r="Y117" s="314" t="str">
        <f t="shared" ca="1" si="51"/>
        <v/>
      </c>
      <c r="Z117" s="315" t="str">
        <f t="shared" ca="1" si="52"/>
        <v/>
      </c>
      <c r="AA117" s="316" t="str">
        <f t="shared" ca="1" si="53"/>
        <v/>
      </c>
      <c r="AC117" s="310" t="e">
        <f t="shared" ca="1" si="54"/>
        <v>#N/A</v>
      </c>
      <c r="AD117" s="323" t="e">
        <f t="shared" ca="1" si="55"/>
        <v>#N/A</v>
      </c>
      <c r="AE117" s="324">
        <f t="shared" ca="1" si="34"/>
        <v>39.241550772808921</v>
      </c>
      <c r="AG117" s="306">
        <f t="shared" ca="1" si="56"/>
        <v>62.804672501213972</v>
      </c>
      <c r="AH117" s="304">
        <f t="shared" ca="1" si="57"/>
        <v>72.405622808732261</v>
      </c>
    </row>
    <row r="118" spans="1:34" x14ac:dyDescent="0.25">
      <c r="A118" s="347">
        <f t="shared" ca="1" si="35"/>
        <v>0.01</v>
      </c>
      <c r="B118" s="304">
        <f t="shared" ca="1" si="36"/>
        <v>1.1400000000000008</v>
      </c>
      <c r="D118" s="306">
        <f t="shared" ca="1" si="37"/>
        <v>14.882167121493993</v>
      </c>
      <c r="E118" s="307">
        <f t="shared" ca="1" si="38"/>
        <v>61.020973957658228</v>
      </c>
      <c r="F118" s="304">
        <f t="shared" ca="1" si="39"/>
        <v>62.809538773766526</v>
      </c>
      <c r="G118" s="306">
        <f t="shared" ca="1" si="40"/>
        <v>14.836735478123815</v>
      </c>
      <c r="H118" s="307">
        <f t="shared" ca="1" si="41"/>
        <v>70.516644189363348</v>
      </c>
      <c r="I118" s="304">
        <f t="shared" ca="1" si="42"/>
        <v>72.060570545736653</v>
      </c>
      <c r="J118" s="306">
        <f t="shared" ca="1" si="43"/>
        <v>7.8518913908138286</v>
      </c>
      <c r="K118" s="307">
        <f t="shared" ca="1" si="44"/>
        <v>39.943666166004668</v>
      </c>
      <c r="L118" s="304">
        <f t="shared" ca="1" si="29"/>
        <v>40.708090905793682</v>
      </c>
      <c r="M118" s="306">
        <f t="shared" ca="1" si="45"/>
        <v>1.3634206028675593</v>
      </c>
      <c r="N118" s="304">
        <f t="shared" ca="1" si="46"/>
        <v>78.118246245493452</v>
      </c>
      <c r="P118" s="310">
        <f t="shared" ca="1" si="47"/>
        <v>6</v>
      </c>
      <c r="Q118" s="304">
        <f t="shared" ca="1" si="48"/>
        <v>1005.6754385964912</v>
      </c>
      <c r="R118" s="306">
        <f t="shared" ca="1" si="49"/>
        <v>0.50377527116769194</v>
      </c>
      <c r="S118" s="307">
        <f t="shared" ca="1" si="50"/>
        <v>13.698421428653354</v>
      </c>
      <c r="T118" s="304">
        <f t="shared" ca="1" si="30"/>
        <v>134.38151421508942</v>
      </c>
      <c r="U118" s="311">
        <f t="shared" ca="1" si="31"/>
        <v>0</v>
      </c>
      <c r="V118" s="306">
        <f t="shared" ca="1" si="32"/>
        <v>1.2201166538321198</v>
      </c>
      <c r="W118" s="304">
        <f t="shared" ca="1" si="33"/>
        <v>14.467613243410851</v>
      </c>
      <c r="Y118" s="314" t="str">
        <f t="shared" ca="1" si="51"/>
        <v/>
      </c>
      <c r="Z118" s="315" t="str">
        <f t="shared" ca="1" si="52"/>
        <v/>
      </c>
      <c r="AA118" s="316" t="str">
        <f t="shared" ca="1" si="53"/>
        <v/>
      </c>
      <c r="AC118" s="310" t="e">
        <f t="shared" ca="1" si="54"/>
        <v>#N/A</v>
      </c>
      <c r="AD118" s="323" t="e">
        <f t="shared" ca="1" si="55"/>
        <v>#N/A</v>
      </c>
      <c r="AE118" s="324">
        <f t="shared" ca="1" si="34"/>
        <v>39.943666166004668</v>
      </c>
      <c r="AG118" s="306">
        <f t="shared" ca="1" si="56"/>
        <v>62.777140686952968</v>
      </c>
      <c r="AH118" s="304">
        <f t="shared" ca="1" si="57"/>
        <v>72.377522546869031</v>
      </c>
    </row>
    <row r="119" spans="1:34" x14ac:dyDescent="0.25">
      <c r="A119" s="347">
        <f t="shared" ca="1" si="35"/>
        <v>0.01</v>
      </c>
      <c r="B119" s="304">
        <f t="shared" ca="1" si="36"/>
        <v>1.1500000000000008</v>
      </c>
      <c r="D119" s="306">
        <f t="shared" ca="1" si="37"/>
        <v>14.896170178200805</v>
      </c>
      <c r="E119" s="307">
        <f t="shared" ca="1" si="38"/>
        <v>60.989127866720168</v>
      </c>
      <c r="F119" s="304">
        <f t="shared" ca="1" si="39"/>
        <v>62.781920995785576</v>
      </c>
      <c r="G119" s="306">
        <f t="shared" ca="1" si="40"/>
        <v>14.985697179905824</v>
      </c>
      <c r="H119" s="307">
        <f t="shared" ca="1" si="41"/>
        <v>71.126535468030553</v>
      </c>
      <c r="I119" s="304">
        <f t="shared" ca="1" si="42"/>
        <v>72.688067574071923</v>
      </c>
      <c r="J119" s="306">
        <f t="shared" ca="1" si="43"/>
        <v>8.0010035541039777</v>
      </c>
      <c r="K119" s="307">
        <f t="shared" ca="1" si="44"/>
        <v>40.651882064291641</v>
      </c>
      <c r="L119" s="304">
        <f t="shared" ca="1" si="29"/>
        <v>41.431770095445607</v>
      </c>
      <c r="M119" s="306">
        <f t="shared" ca="1" si="45"/>
        <v>1.3631427297413141</v>
      </c>
      <c r="N119" s="304">
        <f t="shared" ca="1" si="46"/>
        <v>78.102325288119502</v>
      </c>
      <c r="P119" s="310">
        <f t="shared" ca="1" si="47"/>
        <v>6</v>
      </c>
      <c r="Q119" s="304">
        <f t="shared" ca="1" si="48"/>
        <v>1005.1736842105263</v>
      </c>
      <c r="R119" s="306">
        <f t="shared" ca="1" si="49"/>
        <v>0.50352392620872399</v>
      </c>
      <c r="S119" s="307">
        <f t="shared" ca="1" si="50"/>
        <v>13.693386189391267</v>
      </c>
      <c r="T119" s="304">
        <f t="shared" ca="1" si="30"/>
        <v>134.33211851792834</v>
      </c>
      <c r="U119" s="311">
        <f t="shared" ca="1" si="31"/>
        <v>0</v>
      </c>
      <c r="V119" s="306">
        <f t="shared" ca="1" si="32"/>
        <v>1.2200302459399213</v>
      </c>
      <c r="W119" s="304">
        <f t="shared" ca="1" si="33"/>
        <v>14.719633154824503</v>
      </c>
      <c r="Y119" s="314" t="str">
        <f t="shared" ca="1" si="51"/>
        <v/>
      </c>
      <c r="Z119" s="315" t="str">
        <f t="shared" ca="1" si="52"/>
        <v/>
      </c>
      <c r="AA119" s="316" t="str">
        <f t="shared" ca="1" si="53"/>
        <v/>
      </c>
      <c r="AC119" s="310" t="e">
        <f t="shared" ca="1" si="54"/>
        <v>#N/A</v>
      </c>
      <c r="AD119" s="323" t="e">
        <f t="shared" ca="1" si="55"/>
        <v>#N/A</v>
      </c>
      <c r="AE119" s="324">
        <f t="shared" ca="1" si="34"/>
        <v>40.651882064291641</v>
      </c>
      <c r="AG119" s="306">
        <f t="shared" ca="1" si="56"/>
        <v>62.749422208615783</v>
      </c>
      <c r="AH119" s="304">
        <f t="shared" ca="1" si="57"/>
        <v>72.349239060726205</v>
      </c>
    </row>
    <row r="120" spans="1:34" x14ac:dyDescent="0.25">
      <c r="A120" s="347">
        <f t="shared" ca="1" si="35"/>
        <v>0.01</v>
      </c>
      <c r="B120" s="304">
        <f t="shared" ca="1" si="36"/>
        <v>1.1600000000000008</v>
      </c>
      <c r="D120" s="306">
        <f t="shared" ca="1" si="37"/>
        <v>14.90997398330267</v>
      </c>
      <c r="E120" s="307">
        <f t="shared" ca="1" si="38"/>
        <v>60.957130859470311</v>
      </c>
      <c r="F120" s="304">
        <f t="shared" ca="1" si="39"/>
        <v>62.754116413199142</v>
      </c>
      <c r="G120" s="306">
        <f t="shared" ca="1" si="40"/>
        <v>15.13479691973885</v>
      </c>
      <c r="H120" s="307">
        <f t="shared" ca="1" si="41"/>
        <v>71.736106776625263</v>
      </c>
      <c r="I120" s="304">
        <f t="shared" ca="1" si="42"/>
        <v>73.315285536299442</v>
      </c>
      <c r="J120" s="306">
        <f t="shared" ca="1" si="43"/>
        <v>8.1516060246022004</v>
      </c>
      <c r="K120" s="307">
        <f t="shared" ca="1" si="44"/>
        <v>41.366195275514919</v>
      </c>
      <c r="L120" s="304">
        <f t="shared" ca="1" si="29"/>
        <v>42.161721885525068</v>
      </c>
      <c r="M120" s="306">
        <f t="shared" ca="1" si="45"/>
        <v>1.3628668700081459</v>
      </c>
      <c r="N120" s="304">
        <f t="shared" ca="1" si="46"/>
        <v>78.086519689671348</v>
      </c>
      <c r="P120" s="310">
        <f t="shared" ca="1" si="47"/>
        <v>6</v>
      </c>
      <c r="Q120" s="304">
        <f t="shared" ca="1" si="48"/>
        <v>1004.6719298245613</v>
      </c>
      <c r="R120" s="306">
        <f t="shared" ca="1" si="49"/>
        <v>0.50327258124975605</v>
      </c>
      <c r="S120" s="307">
        <f t="shared" ca="1" si="50"/>
        <v>13.688353463578769</v>
      </c>
      <c r="T120" s="304">
        <f t="shared" ca="1" si="30"/>
        <v>134.28274747770774</v>
      </c>
      <c r="U120" s="311">
        <f t="shared" ca="1" si="31"/>
        <v>0</v>
      </c>
      <c r="V120" s="306">
        <f t="shared" ca="1" si="32"/>
        <v>1.2199431003137451</v>
      </c>
      <c r="W120" s="304">
        <f t="shared" ca="1" si="33"/>
        <v>14.973687957559097</v>
      </c>
      <c r="Y120" s="314" t="str">
        <f t="shared" ca="1" si="51"/>
        <v/>
      </c>
      <c r="Z120" s="315" t="str">
        <f t="shared" ca="1" si="52"/>
        <v/>
      </c>
      <c r="AA120" s="316" t="str">
        <f t="shared" ca="1" si="53"/>
        <v/>
      </c>
      <c r="AC120" s="310" t="e">
        <f t="shared" ca="1" si="54"/>
        <v>#N/A</v>
      </c>
      <c r="AD120" s="323" t="e">
        <f t="shared" ca="1" si="55"/>
        <v>#N/A</v>
      </c>
      <c r="AE120" s="324">
        <f t="shared" ca="1" si="34"/>
        <v>41.366195275514919</v>
      </c>
      <c r="AG120" s="306">
        <f t="shared" ca="1" si="56"/>
        <v>62.721517263251499</v>
      </c>
      <c r="AH120" s="304">
        <f t="shared" ca="1" si="57"/>
        <v>72.320772494935085</v>
      </c>
    </row>
    <row r="121" spans="1:34" x14ac:dyDescent="0.25">
      <c r="A121" s="347">
        <f t="shared" ca="1" si="35"/>
        <v>0.01</v>
      </c>
      <c r="B121" s="304">
        <f t="shared" ca="1" si="36"/>
        <v>1.1700000000000008</v>
      </c>
      <c r="D121" s="306">
        <f t="shared" ca="1" si="37"/>
        <v>14.923580975630399</v>
      </c>
      <c r="E121" s="307">
        <f t="shared" ca="1" si="38"/>
        <v>60.924982704737104</v>
      </c>
      <c r="F121" s="304">
        <f t="shared" ca="1" si="39"/>
        <v>62.726125232702785</v>
      </c>
      <c r="G121" s="306">
        <f t="shared" ca="1" si="40"/>
        <v>15.284032729495154</v>
      </c>
      <c r="H121" s="307">
        <f t="shared" ca="1" si="41"/>
        <v>72.345356603672627</v>
      </c>
      <c r="I121" s="304">
        <f t="shared" ca="1" si="42"/>
        <v>73.942222569982562</v>
      </c>
      <c r="J121" s="306">
        <f t="shared" ca="1" si="43"/>
        <v>8.3037001728483713</v>
      </c>
      <c r="K121" s="307">
        <f t="shared" ca="1" si="44"/>
        <v>42.086602592416405</v>
      </c>
      <c r="L121" s="304">
        <f t="shared" ca="1" si="29"/>
        <v>42.897943474396925</v>
      </c>
      <c r="M121" s="306">
        <f t="shared" ca="1" si="45"/>
        <v>1.3625929911050241</v>
      </c>
      <c r="N121" s="304">
        <f t="shared" ca="1" si="46"/>
        <v>78.070827584424805</v>
      </c>
      <c r="P121" s="310">
        <f t="shared" ca="1" si="47"/>
        <v>6</v>
      </c>
      <c r="Q121" s="304">
        <f t="shared" ca="1" si="48"/>
        <v>1004.1701754385964</v>
      </c>
      <c r="R121" s="306">
        <f t="shared" ca="1" si="49"/>
        <v>0.50302123629078821</v>
      </c>
      <c r="S121" s="307">
        <f t="shared" ca="1" si="50"/>
        <v>13.683323251215862</v>
      </c>
      <c r="T121" s="304">
        <f t="shared" ca="1" si="30"/>
        <v>134.23340109442762</v>
      </c>
      <c r="U121" s="311">
        <f t="shared" ca="1" si="31"/>
        <v>0</v>
      </c>
      <c r="V121" s="306">
        <f t="shared" ca="1" si="32"/>
        <v>1.2198552175032473</v>
      </c>
      <c r="W121" s="304">
        <f t="shared" ca="1" si="33"/>
        <v>15.229773057356519</v>
      </c>
      <c r="Y121" s="314" t="str">
        <f t="shared" ca="1" si="51"/>
        <v/>
      </c>
      <c r="Z121" s="315" t="str">
        <f t="shared" ca="1" si="52"/>
        <v/>
      </c>
      <c r="AA121" s="316" t="str">
        <f t="shared" ca="1" si="53"/>
        <v/>
      </c>
      <c r="AC121" s="310" t="e">
        <f t="shared" ca="1" si="54"/>
        <v>#N/A</v>
      </c>
      <c r="AD121" s="323" t="e">
        <f t="shared" ca="1" si="55"/>
        <v>#N/A</v>
      </c>
      <c r="AE121" s="324">
        <f t="shared" ca="1" si="34"/>
        <v>42.086602592416405</v>
      </c>
      <c r="AG121" s="306">
        <f t="shared" ca="1" si="56"/>
        <v>62.693426049289229</v>
      </c>
      <c r="AH121" s="304">
        <f t="shared" ca="1" si="57"/>
        <v>72.29212299673911</v>
      </c>
    </row>
    <row r="122" spans="1:34" x14ac:dyDescent="0.25">
      <c r="A122" s="347">
        <f t="shared" ca="1" si="35"/>
        <v>0.01</v>
      </c>
      <c r="B122" s="304">
        <f t="shared" ca="1" si="36"/>
        <v>1.1800000000000008</v>
      </c>
      <c r="D122" s="306">
        <f t="shared" ca="1" si="37"/>
        <v>14.936993534362442</v>
      </c>
      <c r="E122" s="307">
        <f t="shared" ca="1" si="38"/>
        <v>60.892683182875984</v>
      </c>
      <c r="F122" s="304">
        <f t="shared" ca="1" si="39"/>
        <v>62.697947662229687</v>
      </c>
      <c r="G122" s="306">
        <f t="shared" ca="1" si="40"/>
        <v>15.433402664838779</v>
      </c>
      <c r="H122" s="307">
        <f t="shared" ca="1" si="41"/>
        <v>72.954283435501381</v>
      </c>
      <c r="I122" s="304">
        <f t="shared" ca="1" si="42"/>
        <v>74.568876814677338</v>
      </c>
      <c r="J122" s="306">
        <f t="shared" ca="1" si="43"/>
        <v>8.4572873498200405</v>
      </c>
      <c r="K122" s="307">
        <f t="shared" ca="1" si="44"/>
        <v>42.813100792612275</v>
      </c>
      <c r="L122" s="304">
        <f t="shared" ca="1" si="29"/>
        <v>43.640432041809625</v>
      </c>
      <c r="M122" s="306">
        <f t="shared" ca="1" si="45"/>
        <v>1.3623210612635026</v>
      </c>
      <c r="N122" s="304">
        <f t="shared" ca="1" si="46"/>
        <v>78.055247152181963</v>
      </c>
      <c r="P122" s="310">
        <f t="shared" ca="1" si="47"/>
        <v>6</v>
      </c>
      <c r="Q122" s="304">
        <f t="shared" ca="1" si="48"/>
        <v>1003.6684210526315</v>
      </c>
      <c r="R122" s="306">
        <f t="shared" ca="1" si="49"/>
        <v>0.50276989133182026</v>
      </c>
      <c r="S122" s="307">
        <f t="shared" ca="1" si="50"/>
        <v>13.678295552302544</v>
      </c>
      <c r="T122" s="304">
        <f t="shared" ca="1" si="30"/>
        <v>134.18407936808796</v>
      </c>
      <c r="U122" s="311">
        <f t="shared" ca="1" si="31"/>
        <v>0</v>
      </c>
      <c r="V122" s="306">
        <f t="shared" ca="1" si="32"/>
        <v>1.2197665980611399</v>
      </c>
      <c r="W122" s="304">
        <f t="shared" ca="1" si="33"/>
        <v>15.487883830114505</v>
      </c>
      <c r="Y122" s="314" t="str">
        <f t="shared" ca="1" si="51"/>
        <v/>
      </c>
      <c r="Z122" s="315" t="str">
        <f t="shared" ca="1" si="52"/>
        <v/>
      </c>
      <c r="AA122" s="316" t="str">
        <f t="shared" ca="1" si="53"/>
        <v/>
      </c>
      <c r="AC122" s="310" t="e">
        <f t="shared" ca="1" si="54"/>
        <v>#N/A</v>
      </c>
      <c r="AD122" s="323" t="e">
        <f t="shared" ca="1" si="55"/>
        <v>#N/A</v>
      </c>
      <c r="AE122" s="324">
        <f t="shared" ca="1" si="34"/>
        <v>42.813100792612275</v>
      </c>
      <c r="AG122" s="306">
        <f t="shared" ca="1" si="56"/>
        <v>62.665148766573907</v>
      </c>
      <c r="AH122" s="304">
        <f t="shared" ca="1" si="57"/>
        <v>72.263290715990237</v>
      </c>
    </row>
    <row r="123" spans="1:34" x14ac:dyDescent="0.25">
      <c r="A123" s="347">
        <f t="shared" ca="1" si="35"/>
        <v>0.01</v>
      </c>
      <c r="B123" s="304">
        <f t="shared" ca="1" si="36"/>
        <v>1.1900000000000008</v>
      </c>
      <c r="D123" s="306">
        <f t="shared" ca="1" si="37"/>
        <v>14.950213981021042</v>
      </c>
      <c r="E123" s="307">
        <f t="shared" ca="1" si="38"/>
        <v>60.860232085478884</v>
      </c>
      <c r="F123" s="304">
        <f t="shared" ca="1" si="39"/>
        <v>62.669583910990433</v>
      </c>
      <c r="G123" s="306">
        <f t="shared" ca="1" si="40"/>
        <v>15.582904804648988</v>
      </c>
      <c r="H123" s="307">
        <f t="shared" ca="1" si="41"/>
        <v>73.562885756356167</v>
      </c>
      <c r="I123" s="304">
        <f t="shared" ca="1" si="42"/>
        <v>75.195246411947224</v>
      </c>
      <c r="J123" s="306">
        <f t="shared" ca="1" si="43"/>
        <v>8.6123688871674791</v>
      </c>
      <c r="K123" s="307">
        <f t="shared" ca="1" si="44"/>
        <v>43.54568663857156</v>
      </c>
      <c r="L123" s="304">
        <f t="shared" ca="1" si="29"/>
        <v>44.389184748915135</v>
      </c>
      <c r="M123" s="306">
        <f t="shared" ca="1" si="45"/>
        <v>1.3620510494837368</v>
      </c>
      <c r="N123" s="304">
        <f t="shared" ca="1" si="46"/>
        <v>78.039776616782561</v>
      </c>
      <c r="P123" s="310">
        <f t="shared" ca="1" si="47"/>
        <v>6</v>
      </c>
      <c r="Q123" s="304">
        <f t="shared" ca="1" si="48"/>
        <v>1003.1666666666666</v>
      </c>
      <c r="R123" s="306">
        <f t="shared" ca="1" si="49"/>
        <v>0.50251854637285243</v>
      </c>
      <c r="S123" s="307">
        <f t="shared" ca="1" si="50"/>
        <v>13.673270366838816</v>
      </c>
      <c r="T123" s="304">
        <f t="shared" ca="1" si="30"/>
        <v>134.13478229868878</v>
      </c>
      <c r="U123" s="311">
        <f t="shared" ca="1" si="31"/>
        <v>0</v>
      </c>
      <c r="V123" s="306">
        <f t="shared" ca="1" si="32"/>
        <v>1.2196772425431883</v>
      </c>
      <c r="W123" s="304">
        <f t="shared" ca="1" si="33"/>
        <v>15.748015622000409</v>
      </c>
      <c r="Y123" s="314" t="str">
        <f t="shared" ca="1" si="51"/>
        <v/>
      </c>
      <c r="Z123" s="315" t="str">
        <f t="shared" ca="1" si="52"/>
        <v/>
      </c>
      <c r="AA123" s="316" t="str">
        <f t="shared" ca="1" si="53"/>
        <v/>
      </c>
      <c r="AC123" s="310" t="e">
        <f t="shared" ca="1" si="54"/>
        <v>#N/A</v>
      </c>
      <c r="AD123" s="323" t="e">
        <f t="shared" ca="1" si="55"/>
        <v>#N/A</v>
      </c>
      <c r="AE123" s="324">
        <f t="shared" ca="1" si="34"/>
        <v>43.54568663857156</v>
      </c>
      <c r="AG123" s="306">
        <f t="shared" ca="1" si="56"/>
        <v>62.63668561640025</v>
      </c>
      <c r="AH123" s="304">
        <f t="shared" ca="1" si="57"/>
        <v>72.234275805145074</v>
      </c>
    </row>
    <row r="124" spans="1:34" x14ac:dyDescent="0.25">
      <c r="A124" s="347">
        <f t="shared" ca="1" si="35"/>
        <v>0.01</v>
      </c>
      <c r="B124" s="304">
        <f t="shared" ca="1" si="36"/>
        <v>1.2000000000000008</v>
      </c>
      <c r="D124" s="306">
        <f t="shared" ca="1" si="37"/>
        <v>14.963244581386105</v>
      </c>
      <c r="E124" s="307">
        <f t="shared" ca="1" si="38"/>
        <v>60.8276292150952</v>
      </c>
      <c r="F124" s="304">
        <f t="shared" ca="1" si="39"/>
        <v>62.641034189510982</v>
      </c>
      <c r="G124" s="306">
        <f t="shared" ca="1" si="40"/>
        <v>15.732537250462849</v>
      </c>
      <c r="H124" s="307">
        <f t="shared" ca="1" si="41"/>
        <v>74.171162048507114</v>
      </c>
      <c r="I124" s="304">
        <f t="shared" ca="1" si="42"/>
        <v>75.821329505377989</v>
      </c>
      <c r="J124" s="306">
        <f t="shared" ca="1" si="43"/>
        <v>8.7689460974430382</v>
      </c>
      <c r="K124" s="307">
        <f t="shared" ca="1" si="44"/>
        <v>44.284356877595876</v>
      </c>
      <c r="L124" s="304">
        <f t="shared" ca="1" si="29"/>
        <v>45.144198738289006</v>
      </c>
      <c r="M124" s="306">
        <f t="shared" ca="1" si="45"/>
        <v>1.361782925509563</v>
      </c>
      <c r="N124" s="304">
        <f t="shared" ca="1" si="46"/>
        <v>78.024414244676137</v>
      </c>
      <c r="P124" s="310">
        <f t="shared" ca="1" si="47"/>
        <v>6</v>
      </c>
      <c r="Q124" s="304">
        <f t="shared" ca="1" si="48"/>
        <v>1002.6649122807017</v>
      </c>
      <c r="R124" s="306">
        <f t="shared" ca="1" si="49"/>
        <v>0.50226720141388459</v>
      </c>
      <c r="S124" s="307">
        <f t="shared" ca="1" si="50"/>
        <v>13.668247694824677</v>
      </c>
      <c r="T124" s="304">
        <f t="shared" ca="1" si="30"/>
        <v>134.08550988623008</v>
      </c>
      <c r="U124" s="311">
        <f t="shared" ca="1" si="31"/>
        <v>0</v>
      </c>
      <c r="V124" s="306">
        <f t="shared" ca="1" si="32"/>
        <v>1.2195871515082113</v>
      </c>
      <c r="W124" s="304">
        <f t="shared" ca="1" si="33"/>
        <v>16.010163749565823</v>
      </c>
      <c r="Y124" s="314" t="str">
        <f t="shared" ca="1" si="51"/>
        <v/>
      </c>
      <c r="Z124" s="315" t="str">
        <f t="shared" ca="1" si="52"/>
        <v/>
      </c>
      <c r="AA124" s="316" t="str">
        <f t="shared" ca="1" si="53"/>
        <v/>
      </c>
      <c r="AC124" s="310" t="e">
        <f t="shared" ca="1" si="54"/>
        <v>#N/A</v>
      </c>
      <c r="AD124" s="323" t="e">
        <f t="shared" ca="1" si="55"/>
        <v>#N/A</v>
      </c>
      <c r="AE124" s="324">
        <f t="shared" ca="1" si="34"/>
        <v>44.284356877595876</v>
      </c>
      <c r="AG124" s="306">
        <f t="shared" ca="1" si="56"/>
        <v>62.608036801545332</v>
      </c>
      <c r="AH124" s="304">
        <f t="shared" ca="1" si="57"/>
        <v>72.205078419261156</v>
      </c>
    </row>
    <row r="125" spans="1:34" x14ac:dyDescent="0.25">
      <c r="A125" s="347">
        <f t="shared" ca="1" si="35"/>
        <v>0.01</v>
      </c>
      <c r="B125" s="304">
        <f t="shared" ca="1" si="36"/>
        <v>1.2100000000000009</v>
      </c>
      <c r="D125" s="306">
        <f t="shared" ca="1" si="37"/>
        <v>14.976087547330643</v>
      </c>
      <c r="E125" s="307">
        <f t="shared" ca="1" si="38"/>
        <v>60.794874384963592</v>
      </c>
      <c r="F125" s="304">
        <f t="shared" ca="1" si="39"/>
        <v>62.612298709668963</v>
      </c>
      <c r="G125" s="306">
        <f t="shared" ca="1" si="40"/>
        <v>15.882298125936156</v>
      </c>
      <c r="H125" s="307">
        <f t="shared" ca="1" si="41"/>
        <v>74.779110792356747</v>
      </c>
      <c r="I125" s="304">
        <f t="shared" ca="1" si="42"/>
        <v>76.447124240593126</v>
      </c>
      <c r="J125" s="306">
        <f t="shared" ca="1" si="43"/>
        <v>8.9270202743250326</v>
      </c>
      <c r="K125" s="307">
        <f t="shared" ca="1" si="44"/>
        <v>45.029108241800195</v>
      </c>
      <c r="L125" s="304">
        <f t="shared" ca="1" si="29"/>
        <v>45.905471133950563</v>
      </c>
      <c r="M125" s="306">
        <f t="shared" ca="1" si="45"/>
        <v>1.361516659804586</v>
      </c>
      <c r="N125" s="304">
        <f t="shared" ca="1" si="46"/>
        <v>78.009158343551874</v>
      </c>
      <c r="P125" s="310">
        <f t="shared" ca="1" si="47"/>
        <v>6</v>
      </c>
      <c r="Q125" s="304">
        <f t="shared" ca="1" si="48"/>
        <v>1002.1631578947367</v>
      </c>
      <c r="R125" s="306">
        <f t="shared" ca="1" si="49"/>
        <v>0.50201585645491664</v>
      </c>
      <c r="S125" s="307">
        <f t="shared" ca="1" si="50"/>
        <v>13.663227536260127</v>
      </c>
      <c r="T125" s="304">
        <f t="shared" ca="1" si="30"/>
        <v>134.03626213071186</v>
      </c>
      <c r="U125" s="311">
        <f t="shared" ca="1" si="31"/>
        <v>0</v>
      </c>
      <c r="V125" s="306">
        <f t="shared" ca="1" si="32"/>
        <v>1.2194963255180782</v>
      </c>
      <c r="W125" s="304">
        <f t="shared" ca="1" si="33"/>
        <v>16.274323499862017</v>
      </c>
      <c r="Y125" s="314" t="str">
        <f t="shared" ca="1" si="51"/>
        <v/>
      </c>
      <c r="Z125" s="315" t="str">
        <f t="shared" ca="1" si="52"/>
        <v/>
      </c>
      <c r="AA125" s="316" t="str">
        <f t="shared" ca="1" si="53"/>
        <v/>
      </c>
      <c r="AC125" s="310" t="e">
        <f t="shared" ca="1" si="54"/>
        <v>#N/A</v>
      </c>
      <c r="AD125" s="323" t="e">
        <f t="shared" ca="1" si="55"/>
        <v>#N/A</v>
      </c>
      <c r="AE125" s="324">
        <f t="shared" ca="1" si="34"/>
        <v>45.029108241800195</v>
      </c>
      <c r="AG125" s="306">
        <f t="shared" ca="1" si="56"/>
        <v>62.579202526299554</v>
      </c>
      <c r="AH125" s="304">
        <f t="shared" ca="1" si="57"/>
        <v>72.17569871599305</v>
      </c>
    </row>
    <row r="126" spans="1:34" x14ac:dyDescent="0.25">
      <c r="A126" s="347">
        <f t="shared" ca="1" si="35"/>
        <v>0.01</v>
      </c>
      <c r="B126" s="304">
        <f t="shared" ca="1" si="36"/>
        <v>1.2200000000000009</v>
      </c>
      <c r="D126" s="306">
        <f t="shared" ca="1" si="37"/>
        <v>14.988745038581905</v>
      </c>
      <c r="E126" s="307">
        <f t="shared" ca="1" si="38"/>
        <v>60.761967418753954</v>
      </c>
      <c r="F126" s="304">
        <f t="shared" ca="1" si="39"/>
        <v>62.583377684728163</v>
      </c>
      <c r="G126" s="306">
        <f t="shared" ca="1" si="40"/>
        <v>16.032185576321975</v>
      </c>
      <c r="H126" s="307">
        <f t="shared" ca="1" si="41"/>
        <v>75.386730466544293</v>
      </c>
      <c r="I126" s="304">
        <f t="shared" ca="1" si="42"/>
        <v>77.072628765269343</v>
      </c>
      <c r="J126" s="306">
        <f t="shared" ca="1" si="43"/>
        <v>9.086592692836323</v>
      </c>
      <c r="K126" s="307">
        <f t="shared" ca="1" si="44"/>
        <v>45.779937448094699</v>
      </c>
      <c r="L126" s="304">
        <f t="shared" ca="1" si="29"/>
        <v>46.672999041383335</v>
      </c>
      <c r="M126" s="306">
        <f t="shared" ca="1" si="45"/>
        <v>1.3612522235292279</v>
      </c>
      <c r="N126" s="304">
        <f t="shared" ca="1" si="46"/>
        <v>77.994007261023697</v>
      </c>
      <c r="P126" s="310">
        <f t="shared" ca="1" si="47"/>
        <v>6</v>
      </c>
      <c r="Q126" s="304">
        <f t="shared" ca="1" si="48"/>
        <v>1001.6614035087719</v>
      </c>
      <c r="R126" s="306">
        <f t="shared" ca="1" si="49"/>
        <v>0.5017645114959487</v>
      </c>
      <c r="S126" s="307">
        <f t="shared" ca="1" si="50"/>
        <v>13.658209891145168</v>
      </c>
      <c r="T126" s="304">
        <f t="shared" ca="1" si="30"/>
        <v>133.98703903213411</v>
      </c>
      <c r="U126" s="311">
        <f t="shared" ca="1" si="31"/>
        <v>0</v>
      </c>
      <c r="V126" s="306">
        <f t="shared" ca="1" si="32"/>
        <v>1.2194047651377082</v>
      </c>
      <c r="W126" s="304">
        <f t="shared" ca="1" si="33"/>
        <v>16.540490130556176</v>
      </c>
      <c r="Y126" s="314" t="str">
        <f t="shared" ca="1" si="51"/>
        <v/>
      </c>
      <c r="Z126" s="315" t="str">
        <f t="shared" ca="1" si="52"/>
        <v/>
      </c>
      <c r="AA126" s="316" t="str">
        <f t="shared" ca="1" si="53"/>
        <v/>
      </c>
      <c r="AC126" s="310" t="e">
        <f t="shared" ca="1" si="54"/>
        <v>#N/A</v>
      </c>
      <c r="AD126" s="323" t="e">
        <f t="shared" ca="1" si="55"/>
        <v>#N/A</v>
      </c>
      <c r="AE126" s="324">
        <f t="shared" ca="1" si="34"/>
        <v>45.779937448094699</v>
      </c>
      <c r="AG126" s="306">
        <f t="shared" ca="1" si="56"/>
        <v>62.550182996496162</v>
      </c>
      <c r="AH126" s="304">
        <f t="shared" ca="1" si="57"/>
        <v>72.146136855588352</v>
      </c>
    </row>
    <row r="127" spans="1:34" x14ac:dyDescent="0.25">
      <c r="A127" s="347">
        <f t="shared" ca="1" si="35"/>
        <v>0.01</v>
      </c>
      <c r="B127" s="304">
        <f t="shared" ca="1" si="36"/>
        <v>1.2300000000000009</v>
      </c>
      <c r="D127" s="306">
        <f t="shared" ca="1" si="37"/>
        <v>15.001219164411539</v>
      </c>
      <c r="E127" s="307">
        <f t="shared" ca="1" si="38"/>
        <v>60.728908150319427</v>
      </c>
      <c r="F127" s="304">
        <f t="shared" ca="1" si="39"/>
        <v>62.554271329371595</v>
      </c>
      <c r="G127" s="306">
        <f t="shared" ca="1" si="40"/>
        <v>16.182197767966091</v>
      </c>
      <c r="H127" s="307">
        <f t="shared" ca="1" si="41"/>
        <v>75.99401954804749</v>
      </c>
      <c r="I127" s="304">
        <f t="shared" ca="1" si="42"/>
        <v>77.697841229152502</v>
      </c>
      <c r="J127" s="306">
        <f t="shared" ca="1" si="43"/>
        <v>9.2476646095577628</v>
      </c>
      <c r="K127" s="307">
        <f t="shared" ca="1" si="44"/>
        <v>46.536841198167657</v>
      </c>
      <c r="L127" s="304">
        <f t="shared" ca="1" si="29"/>
        <v>47.446779547555614</v>
      </c>
      <c r="M127" s="306">
        <f t="shared" ca="1" si="45"/>
        <v>1.3609895885186909</v>
      </c>
      <c r="N127" s="304">
        <f t="shared" ca="1" si="46"/>
        <v>77.978959383367553</v>
      </c>
      <c r="P127" s="310">
        <f t="shared" ca="1" si="47"/>
        <v>6</v>
      </c>
      <c r="Q127" s="304">
        <f t="shared" ca="1" si="48"/>
        <v>1001.159649122807</v>
      </c>
      <c r="R127" s="306">
        <f t="shared" ca="1" si="49"/>
        <v>0.50151316653698086</v>
      </c>
      <c r="S127" s="307">
        <f t="shared" ca="1" si="50"/>
        <v>13.653194759479797</v>
      </c>
      <c r="T127" s="304">
        <f t="shared" ca="1" si="30"/>
        <v>133.93784059049682</v>
      </c>
      <c r="U127" s="311">
        <f t="shared" ca="1" si="31"/>
        <v>0</v>
      </c>
      <c r="V127" s="306">
        <f t="shared" ca="1" si="32"/>
        <v>1.2193124709350696</v>
      </c>
      <c r="W127" s="304">
        <f t="shared" ca="1" si="33"/>
        <v>16.808658870048465</v>
      </c>
      <c r="Y127" s="314" t="str">
        <f t="shared" ca="1" si="51"/>
        <v/>
      </c>
      <c r="Z127" s="315" t="str">
        <f t="shared" ca="1" si="52"/>
        <v/>
      </c>
      <c r="AA127" s="316" t="str">
        <f t="shared" ca="1" si="53"/>
        <v/>
      </c>
      <c r="AC127" s="310" t="e">
        <f t="shared" ca="1" si="54"/>
        <v>#N/A</v>
      </c>
      <c r="AD127" s="323" t="e">
        <f t="shared" ca="1" si="55"/>
        <v>#N/A</v>
      </c>
      <c r="AE127" s="324">
        <f t="shared" ca="1" si="34"/>
        <v>46.536841198167657</v>
      </c>
      <c r="AG127" s="306">
        <f t="shared" ca="1" si="56"/>
        <v>62.520978419539432</v>
      </c>
      <c r="AH127" s="304">
        <f t="shared" ca="1" si="57"/>
        <v>72.116393000883704</v>
      </c>
    </row>
    <row r="128" spans="1:34" x14ac:dyDescent="0.25">
      <c r="A128" s="347">
        <f t="shared" ca="1" si="35"/>
        <v>0.01</v>
      </c>
      <c r="B128" s="304">
        <f t="shared" ca="1" si="36"/>
        <v>1.2400000000000009</v>
      </c>
      <c r="D128" s="306">
        <f t="shared" ca="1" si="37"/>
        <v>15.013511985258351</v>
      </c>
      <c r="E128" s="307">
        <f t="shared" ca="1" si="38"/>
        <v>60.695696423457463</v>
      </c>
      <c r="F128" s="304">
        <f t="shared" ca="1" si="39"/>
        <v>62.524979859732888</v>
      </c>
      <c r="G128" s="306">
        <f t="shared" ca="1" si="40"/>
        <v>16.332332887818673</v>
      </c>
      <c r="H128" s="307">
        <f t="shared" ca="1" si="41"/>
        <v>76.60097651228206</v>
      </c>
      <c r="I128" s="304">
        <f t="shared" ca="1" si="42"/>
        <v>78.322759784073682</v>
      </c>
      <c r="J128" s="306">
        <f t="shared" ca="1" si="43"/>
        <v>9.4102372628366862</v>
      </c>
      <c r="K128" s="307">
        <f t="shared" ca="1" si="44"/>
        <v>47.299816178469307</v>
      </c>
      <c r="L128" s="304">
        <f t="shared" ca="1" si="29"/>
        <v>48.226809720941183</v>
      </c>
      <c r="M128" s="306">
        <f t="shared" ca="1" si="45"/>
        <v>1.3607287272617918</v>
      </c>
      <c r="N128" s="304">
        <f t="shared" ca="1" si="46"/>
        <v>77.964013134308757</v>
      </c>
      <c r="P128" s="310">
        <f t="shared" ca="1" si="47"/>
        <v>6</v>
      </c>
      <c r="Q128" s="304">
        <f t="shared" ca="1" si="48"/>
        <v>1000.6578947368421</v>
      </c>
      <c r="R128" s="306">
        <f t="shared" ca="1" si="49"/>
        <v>0.50126182157801302</v>
      </c>
      <c r="S128" s="307">
        <f t="shared" ca="1" si="50"/>
        <v>13.648182141264018</v>
      </c>
      <c r="T128" s="304">
        <f t="shared" ca="1" si="30"/>
        <v>133.88866680580003</v>
      </c>
      <c r="U128" s="311">
        <f t="shared" ca="1" si="31"/>
        <v>0</v>
      </c>
      <c r="V128" s="306">
        <f t="shared" ca="1" si="32"/>
        <v>1.2192194434811749</v>
      </c>
      <c r="W128" s="304">
        <f t="shared" ca="1" si="33"/>
        <v>17.078824917589827</v>
      </c>
      <c r="Y128" s="314" t="str">
        <f t="shared" ca="1" si="51"/>
        <v/>
      </c>
      <c r="Z128" s="315" t="str">
        <f t="shared" ca="1" si="52"/>
        <v/>
      </c>
      <c r="AA128" s="316" t="str">
        <f t="shared" ca="1" si="53"/>
        <v/>
      </c>
      <c r="AC128" s="310" t="e">
        <f t="shared" ca="1" si="54"/>
        <v>#N/A</v>
      </c>
      <c r="AD128" s="323" t="e">
        <f t="shared" ca="1" si="55"/>
        <v>#N/A</v>
      </c>
      <c r="AE128" s="324">
        <f t="shared" ca="1" si="34"/>
        <v>47.299816178469307</v>
      </c>
      <c r="AG128" s="306">
        <f t="shared" ca="1" si="56"/>
        <v>62.49158900443139</v>
      </c>
      <c r="AH128" s="304">
        <f t="shared" ca="1" si="57"/>
        <v>72.086467317300546</v>
      </c>
    </row>
    <row r="129" spans="1:34" x14ac:dyDescent="0.25">
      <c r="A129" s="347">
        <f t="shared" ca="1" si="35"/>
        <v>0.01</v>
      </c>
      <c r="B129" s="304">
        <f t="shared" ca="1" si="36"/>
        <v>1.2500000000000009</v>
      </c>
      <c r="D129" s="306">
        <f t="shared" ca="1" si="37"/>
        <v>15.025625514286808</v>
      </c>
      <c r="E129" s="307">
        <f t="shared" ca="1" si="38"/>
        <v>60.662332091680298</v>
      </c>
      <c r="F129" s="304">
        <f t="shared" ca="1" si="39"/>
        <v>62.495503493426568</v>
      </c>
      <c r="G129" s="306">
        <f t="shared" ca="1" si="40"/>
        <v>16.48258914296154</v>
      </c>
      <c r="H129" s="307">
        <f t="shared" ca="1" si="41"/>
        <v>77.207599833198856</v>
      </c>
      <c r="I129" s="304">
        <f t="shared" ca="1" si="42"/>
        <v>78.947382583965648</v>
      </c>
      <c r="J129" s="306">
        <f t="shared" ca="1" si="43"/>
        <v>9.5743118729905881</v>
      </c>
      <c r="K129" s="307">
        <f t="shared" ca="1" si="44"/>
        <v>48.068859060196708</v>
      </c>
      <c r="L129" s="304">
        <f t="shared" ca="1" si="29"/>
        <v>49.013086611540231</v>
      </c>
      <c r="M129" s="306">
        <f t="shared" ca="1" si="45"/>
        <v>1.3604696128806251</v>
      </c>
      <c r="N129" s="304">
        <f t="shared" ca="1" si="46"/>
        <v>77.949166973856762</v>
      </c>
      <c r="P129" s="310">
        <f t="shared" ca="1" si="47"/>
        <v>6</v>
      </c>
      <c r="Q129" s="304">
        <f t="shared" ca="1" si="48"/>
        <v>1000.1561403508771</v>
      </c>
      <c r="R129" s="306">
        <f t="shared" ca="1" si="49"/>
        <v>0.50101047661904508</v>
      </c>
      <c r="S129" s="307">
        <f t="shared" ca="1" si="50"/>
        <v>13.643172036497827</v>
      </c>
      <c r="T129" s="304">
        <f t="shared" ca="1" si="30"/>
        <v>133.83951767804368</v>
      </c>
      <c r="U129" s="311">
        <f t="shared" ca="1" si="31"/>
        <v>0</v>
      </c>
      <c r="V129" s="306">
        <f t="shared" ca="1" si="32"/>
        <v>1.2191256833500821</v>
      </c>
      <c r="W129" s="304">
        <f t="shared" ca="1" si="33"/>
        <v>17.350983443400725</v>
      </c>
      <c r="Y129" s="314" t="str">
        <f t="shared" ca="1" si="51"/>
        <v/>
      </c>
      <c r="Z129" s="315" t="str">
        <f t="shared" ca="1" si="52"/>
        <v/>
      </c>
      <c r="AA129" s="316" t="str">
        <f t="shared" ca="1" si="53"/>
        <v/>
      </c>
      <c r="AC129" s="310" t="e">
        <f t="shared" ca="1" si="54"/>
        <v>#N/A</v>
      </c>
      <c r="AD129" s="323" t="e">
        <f t="shared" ca="1" si="55"/>
        <v>#N/A</v>
      </c>
      <c r="AE129" s="324">
        <f t="shared" ca="1" si="34"/>
        <v>48.068859060196708</v>
      </c>
      <c r="AG129" s="306">
        <f t="shared" ca="1" si="56"/>
        <v>62.462014961797607</v>
      </c>
      <c r="AH129" s="304">
        <f t="shared" ca="1" si="57"/>
        <v>72.056359972841122</v>
      </c>
    </row>
    <row r="130" spans="1:34" x14ac:dyDescent="0.25">
      <c r="A130" s="347">
        <f t="shared" ca="1" si="35"/>
        <v>0.01</v>
      </c>
      <c r="B130" s="304">
        <f t="shared" ca="1" si="36"/>
        <v>1.2600000000000009</v>
      </c>
      <c r="D130" s="306">
        <f t="shared" ca="1" si="37"/>
        <v>15.037561718884367</v>
      </c>
      <c r="E130" s="307">
        <f t="shared" ca="1" si="38"/>
        <v>60.628815017993347</v>
      </c>
      <c r="F130" s="304">
        <f t="shared" ca="1" si="39"/>
        <v>62.465842449576492</v>
      </c>
      <c r="G130" s="306">
        <f t="shared" ca="1" si="40"/>
        <v>16.632964760150383</v>
      </c>
      <c r="H130" s="307">
        <f t="shared" ca="1" si="41"/>
        <v>77.813887983378791</v>
      </c>
      <c r="I130" s="304">
        <f t="shared" ca="1" si="42"/>
        <v>79.571707784879337</v>
      </c>
      <c r="J130" s="306">
        <f t="shared" ca="1" si="43"/>
        <v>9.7398896425061476</v>
      </c>
      <c r="K130" s="307">
        <f t="shared" ca="1" si="44"/>
        <v>48.843966499279595</v>
      </c>
      <c r="L130" s="304">
        <f t="shared" ca="1" si="29"/>
        <v>49.805607250900437</v>
      </c>
      <c r="M130" s="306">
        <f t="shared" ca="1" si="45"/>
        <v>1.3602122191110169</v>
      </c>
      <c r="N130" s="304">
        <f t="shared" ca="1" si="46"/>
        <v>77.934419397185238</v>
      </c>
      <c r="P130" s="310">
        <f t="shared" ca="1" si="47"/>
        <v>6</v>
      </c>
      <c r="Q130" s="304">
        <f t="shared" ca="1" si="48"/>
        <v>999.65438596491219</v>
      </c>
      <c r="R130" s="306">
        <f t="shared" ca="1" si="49"/>
        <v>0.50075913166007713</v>
      </c>
      <c r="S130" s="307">
        <f t="shared" ca="1" si="50"/>
        <v>13.638164445181227</v>
      </c>
      <c r="T130" s="304">
        <f t="shared" ca="1" si="30"/>
        <v>133.79039320722785</v>
      </c>
      <c r="U130" s="311">
        <f t="shared" ca="1" si="31"/>
        <v>0</v>
      </c>
      <c r="V130" s="306">
        <f t="shared" ca="1" si="32"/>
        <v>1.2190311911188896</v>
      </c>
      <c r="W130" s="304">
        <f t="shared" ca="1" si="33"/>
        <v>17.625129588790465</v>
      </c>
      <c r="Y130" s="314" t="str">
        <f t="shared" ca="1" si="51"/>
        <v/>
      </c>
      <c r="Z130" s="315" t="str">
        <f t="shared" ca="1" si="52"/>
        <v/>
      </c>
      <c r="AA130" s="316" t="str">
        <f t="shared" ca="1" si="53"/>
        <v/>
      </c>
      <c r="AC130" s="310" t="e">
        <f t="shared" ca="1" si="54"/>
        <v>#N/A</v>
      </c>
      <c r="AD130" s="323" t="e">
        <f t="shared" ca="1" si="55"/>
        <v>#N/A</v>
      </c>
      <c r="AE130" s="324">
        <f t="shared" ca="1" si="34"/>
        <v>48.843966499279595</v>
      </c>
      <c r="AG130" s="306">
        <f t="shared" ca="1" si="56"/>
        <v>62.432256503911333</v>
      </c>
      <c r="AH130" s="304">
        <f t="shared" ca="1" si="57"/>
        <v>72.026071138084035</v>
      </c>
    </row>
    <row r="131" spans="1:34" x14ac:dyDescent="0.25">
      <c r="A131" s="347">
        <f t="shared" ca="1" si="35"/>
        <v>0.01</v>
      </c>
      <c r="B131" s="304">
        <f t="shared" ca="1" si="36"/>
        <v>1.2700000000000009</v>
      </c>
      <c r="D131" s="306">
        <f t="shared" ca="1" si="37"/>
        <v>15.049322522100454</v>
      </c>
      <c r="E131" s="307">
        <f t="shared" ca="1" si="38"/>
        <v>60.595145074682193</v>
      </c>
      <c r="F131" s="304">
        <f t="shared" ca="1" si="39"/>
        <v>62.435996948843396</v>
      </c>
      <c r="G131" s="306">
        <f t="shared" ca="1" si="40"/>
        <v>16.783457985371388</v>
      </c>
      <c r="H131" s="307">
        <f t="shared" ca="1" si="41"/>
        <v>78.419839434125606</v>
      </c>
      <c r="I131" s="304">
        <f t="shared" ca="1" si="42"/>
        <v>80.195733545000806</v>
      </c>
      <c r="J131" s="306">
        <f t="shared" ca="1" si="43"/>
        <v>9.9069717562337569</v>
      </c>
      <c r="K131" s="307">
        <f t="shared" ca="1" si="44"/>
        <v>49.62513513636712</v>
      </c>
      <c r="L131" s="304">
        <f t="shared" ca="1" si="29"/>
        <v>50.604368652138248</v>
      </c>
      <c r="M131" s="306">
        <f t="shared" ca="1" si="45"/>
        <v>1.3599565202837329</v>
      </c>
      <c r="N131" s="304">
        <f t="shared" ca="1" si="46"/>
        <v>77.919768933555432</v>
      </c>
      <c r="P131" s="310">
        <f t="shared" ca="1" si="47"/>
        <v>6</v>
      </c>
      <c r="Q131" s="304">
        <f t="shared" ca="1" si="48"/>
        <v>999.15263157894731</v>
      </c>
      <c r="R131" s="306">
        <f t="shared" ca="1" si="49"/>
        <v>0.50050778670110929</v>
      </c>
      <c r="S131" s="307">
        <f t="shared" ca="1" si="50"/>
        <v>13.633159367314216</v>
      </c>
      <c r="T131" s="304">
        <f t="shared" ca="1" si="30"/>
        <v>133.74129339335246</v>
      </c>
      <c r="U131" s="311">
        <f t="shared" ca="1" si="31"/>
        <v>0</v>
      </c>
      <c r="V131" s="306">
        <f t="shared" ca="1" si="32"/>
        <v>1.2189359673677373</v>
      </c>
      <c r="W131" s="304">
        <f t="shared" ca="1" si="33"/>
        <v>17.901258466277572</v>
      </c>
      <c r="Y131" s="314" t="str">
        <f t="shared" ca="1" si="51"/>
        <v/>
      </c>
      <c r="Z131" s="315" t="str">
        <f t="shared" ca="1" si="52"/>
        <v/>
      </c>
      <c r="AA131" s="316" t="str">
        <f t="shared" ca="1" si="53"/>
        <v/>
      </c>
      <c r="AC131" s="310" t="e">
        <f t="shared" ca="1" si="54"/>
        <v>#N/A</v>
      </c>
      <c r="AD131" s="323" t="e">
        <f t="shared" ca="1" si="55"/>
        <v>#N/A</v>
      </c>
      <c r="AE131" s="324">
        <f t="shared" ca="1" si="34"/>
        <v>49.62513513636712</v>
      </c>
      <c r="AG131" s="306">
        <f t="shared" ca="1" si="56"/>
        <v>62.402313844716872</v>
      </c>
      <c r="AH131" s="304">
        <f t="shared" ca="1" si="57"/>
        <v>71.995600986180023</v>
      </c>
    </row>
    <row r="132" spans="1:34" x14ac:dyDescent="0.25">
      <c r="A132" s="347">
        <f t="shared" ca="1" si="35"/>
        <v>0.01</v>
      </c>
      <c r="B132" s="304">
        <f t="shared" ca="1" si="36"/>
        <v>1.2800000000000009</v>
      </c>
      <c r="D132" s="306">
        <f t="shared" ca="1" si="37"/>
        <v>15.060909804029887</v>
      </c>
      <c r="E132" s="307">
        <f t="shared" ca="1" si="38"/>
        <v>60.561322143107006</v>
      </c>
      <c r="F132" s="304">
        <f t="shared" ca="1" si="39"/>
        <v>62.405967213450879</v>
      </c>
      <c r="G132" s="306">
        <f t="shared" ca="1" si="40"/>
        <v>16.934067083411687</v>
      </c>
      <c r="H132" s="307">
        <f t="shared" ca="1" si="41"/>
        <v>79.025452655556677</v>
      </c>
      <c r="I132" s="304">
        <f t="shared" ca="1" si="42"/>
        <v>80.819458024668279</v>
      </c>
      <c r="J132" s="306">
        <f t="shared" ca="1" si="43"/>
        <v>10.075559381577673</v>
      </c>
      <c r="K132" s="307">
        <f t="shared" ca="1" si="44"/>
        <v>50.412361596815529</v>
      </c>
      <c r="L132" s="304">
        <f t="shared" ref="L132:L195" ca="1" si="58">SQRT(pos_x^2+pos_z^2)</f>
        <v>51.409367809960266</v>
      </c>
      <c r="M132" s="306">
        <f t="shared" ca="1" si="45"/>
        <v>1.3597024913064066</v>
      </c>
      <c r="N132" s="304">
        <f t="shared" ca="1" si="46"/>
        <v>77.90521414528061</v>
      </c>
      <c r="P132" s="310">
        <f t="shared" ca="1" si="47"/>
        <v>6</v>
      </c>
      <c r="Q132" s="304">
        <f t="shared" ca="1" si="48"/>
        <v>998.65087719298242</v>
      </c>
      <c r="R132" s="306">
        <f t="shared" ca="1" si="49"/>
        <v>0.50025644174214146</v>
      </c>
      <c r="S132" s="307">
        <f t="shared" ca="1" si="50"/>
        <v>13.628156802896795</v>
      </c>
      <c r="T132" s="304">
        <f t="shared" ref="T132:T195" ca="1" si="59">m*g</f>
        <v>133.69221823641757</v>
      </c>
      <c r="U132" s="311">
        <f t="shared" ref="U132:U195" ca="1" si="60">IF(pos_xz&lt;L_rampe,Poids*COS(Beta),0)</f>
        <v>0</v>
      </c>
      <c r="V132" s="306">
        <f t="shared" ref="V132:V195" ca="1" si="61">Rho_moyen*(20000-Alt_rampe-pos_z)/(20000+Alt_rampe+pos_z)</f>
        <v>1.2188400126798009</v>
      </c>
      <c r="W132" s="304">
        <f t="shared" ref="W132:W195" ca="1" si="62">1/2*Rho*Sref*Cx*vit_xz^2</f>
        <v>18.179365159710759</v>
      </c>
      <c r="Y132" s="314" t="str">
        <f t="shared" ca="1" si="51"/>
        <v/>
      </c>
      <c r="Z132" s="315" t="str">
        <f t="shared" ca="1" si="52"/>
        <v/>
      </c>
      <c r="AA132" s="316" t="str">
        <f t="shared" ca="1" si="53"/>
        <v/>
      </c>
      <c r="AC132" s="310" t="e">
        <f t="shared" ca="1" si="54"/>
        <v>#N/A</v>
      </c>
      <c r="AD132" s="323" t="e">
        <f t="shared" ca="1" si="55"/>
        <v>#N/A</v>
      </c>
      <c r="AE132" s="324">
        <f t="shared" ref="AE132:AE195" ca="1" si="63">IF(t&lt;T_para, pos_z, NA())</f>
        <v>50.412361596815529</v>
      </c>
      <c r="AG132" s="306">
        <f t="shared" ca="1" si="56"/>
        <v>62.372187199851624</v>
      </c>
      <c r="AH132" s="304">
        <f t="shared" ca="1" si="57"/>
        <v>71.964949692847469</v>
      </c>
    </row>
    <row r="133" spans="1:34" x14ac:dyDescent="0.25">
      <c r="A133" s="347">
        <f t="shared" ref="A133:A196" ca="1" si="64">IF(B132+0.01&lt;=T_ini+ROUNDUP(Temps_fin_propu,0), 0.01, IF(K132&gt;0, 0.1, 0.0001))</f>
        <v>0.01</v>
      </c>
      <c r="B133" s="304">
        <f t="shared" ref="B133:B196" ca="1" si="65">B132+pas</f>
        <v>1.2900000000000009</v>
      </c>
      <c r="D133" s="306">
        <f t="shared" ref="D133:D196" ca="1" si="66">IF(AND(L132&lt;L_rampe,Poussee&lt;Poids*SIN(M132)),0,(-W132+Poussee)/m*COS(M132)-U132/m*SIN(M132))</f>
        <v>15.066494241101537</v>
      </c>
      <c r="E133" s="307">
        <f t="shared" ref="E133:E196" ca="1" si="67">IF(AND(L132&lt;L_rampe,Poussee&lt;Poids*SIN(M132)),0,(-W132+Poussee)/m*SIN(M132)+U132/m*COS(M132)-Poids/m)</f>
        <v>60.50013409068832</v>
      </c>
      <c r="F133" s="304">
        <f t="shared" ref="F133:F196" ca="1" si="68">SQRT(acc_x^2+acc_z^2)</f>
        <v>62.347938808820395</v>
      </c>
      <c r="G133" s="306">
        <f t="shared" ref="G133:G196" ca="1" si="69">G132+acc_x*pas</f>
        <v>17.084732025822703</v>
      </c>
      <c r="H133" s="307">
        <f t="shared" ref="H133:H196" ca="1" si="70">H132+acc_z*pas</f>
        <v>79.630453996463558</v>
      </c>
      <c r="I133" s="304">
        <f t="shared" ref="I133:I196" ca="1" si="71">SQRT(vit_x^2+vit_z^2)</f>
        <v>81.442601088601478</v>
      </c>
      <c r="J133" s="306">
        <f t="shared" ref="J133:J196" ca="1" si="72">J132+0.5*(vit_x+G132)*pas*(K132&gt;=0)</f>
        <v>10.245653377123844</v>
      </c>
      <c r="K133" s="307">
        <f t="shared" ref="K133:K196" ca="1" si="73">K132+0.5*(vit_z+H132)*pas</f>
        <v>51.205641130075634</v>
      </c>
      <c r="L133" s="304">
        <f t="shared" ca="1" si="58"/>
        <v>52.220600309324887</v>
      </c>
      <c r="M133" s="306">
        <f t="shared" ref="M133:M196" ca="1" si="74">IF(AND(L132&gt;L_rampe,G133&gt;0),ATAN2(G133,H133),$M$4)</f>
        <v>1.3594501067837303</v>
      </c>
      <c r="N133" s="304">
        <f t="shared" ref="N133:N196" ca="1" si="75">DEGREES(Beta)</f>
        <v>77.890753577316829</v>
      </c>
      <c r="P133" s="310">
        <f t="shared" ref="P133:P196" ca="1" si="76">MATCH(t-pas/2-T_ini,CdP_t)</f>
        <v>7</v>
      </c>
      <c r="Q133" s="304">
        <f t="shared" ref="Q133:Q196" ca="1" si="77">(INDEX(CdP,2,i_P+1)-INDEX(CdP,2,i_P+0))/(INDEX(CdP,1,i_P+1)-INDEX(CdP,1,i_P+0))*(t-pas/2-T_ini-INDEX(CdP,1,i_P+0))+INDEX(CdP,2,i_P+0)</f>
        <v>997.77012987012972</v>
      </c>
      <c r="R133" s="306">
        <f t="shared" ref="R133:R196" ca="1" si="78">Poussee/(g*ISP)</f>
        <v>0.49981524699444074</v>
      </c>
      <c r="S133" s="307">
        <f t="shared" ref="S133:S196" ca="1" si="79">S132-Débit*pas</f>
        <v>13.62315865042685</v>
      </c>
      <c r="T133" s="304">
        <f t="shared" ca="1" si="59"/>
        <v>133.64318636068739</v>
      </c>
      <c r="U133" s="311">
        <f t="shared" ca="1" si="60"/>
        <v>0</v>
      </c>
      <c r="V133" s="306">
        <f t="shared" ca="1" si="61"/>
        <v>1.2187433278071145</v>
      </c>
      <c r="W133" s="304">
        <f t="shared" ca="1" si="62"/>
        <v>18.459318571886868</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51.205641130075634</v>
      </c>
      <c r="AG133" s="306">
        <f t="shared" ref="AG133:AG196" ca="1" si="85">IF(AND(L132&lt;L_rampe,Poussee&lt;Poids*SIN(M132)),0,(-W132+Poussee)/m-Poids*SIN(M132)/m)</f>
        <v>62.314047006996624</v>
      </c>
      <c r="AH133" s="304">
        <f t="shared" ref="AH133:AH196" ca="1" si="86">IF(AND(L132&lt;L_rampe,Poussee&lt;Poids*SIN(M132)), g*SIN(M132), (-W132+Poussee)/m)</f>
        <v>71.90628765669743</v>
      </c>
    </row>
    <row r="134" spans="1:34" x14ac:dyDescent="0.25">
      <c r="A134" s="347">
        <f t="shared" ca="1" si="64"/>
        <v>0.01</v>
      </c>
      <c r="B134" s="304">
        <f t="shared" ca="1" si="65"/>
        <v>1.3000000000000009</v>
      </c>
      <c r="D134" s="306">
        <f t="shared" ca="1" si="66"/>
        <v>15.066050512232552</v>
      </c>
      <c r="E134" s="307">
        <f t="shared" ca="1" si="67"/>
        <v>60.411554567517939</v>
      </c>
      <c r="F134" s="304">
        <f t="shared" ca="1" si="68"/>
        <v>62.261880820461407</v>
      </c>
      <c r="G134" s="306">
        <f t="shared" ca="1" si="69"/>
        <v>17.235392530945028</v>
      </c>
      <c r="H134" s="307">
        <f t="shared" ca="1" si="70"/>
        <v>80.234569542138743</v>
      </c>
      <c r="I134" s="304">
        <f t="shared" ca="1" si="71"/>
        <v>82.064882290222371</v>
      </c>
      <c r="J134" s="306">
        <f t="shared" ca="1" si="72"/>
        <v>10.417253999907683</v>
      </c>
      <c r="K134" s="307">
        <f t="shared" ca="1" si="73"/>
        <v>52.004966247768643</v>
      </c>
      <c r="L134" s="304">
        <f t="shared" ca="1" si="58"/>
        <v>53.038058932526447</v>
      </c>
      <c r="M134" s="306">
        <f t="shared" ca="1" si="74"/>
        <v>1.3591993410469101</v>
      </c>
      <c r="N134" s="304">
        <f t="shared" ca="1" si="75"/>
        <v>77.876385758950548</v>
      </c>
      <c r="P134" s="310">
        <f t="shared" ca="1" si="76"/>
        <v>7</v>
      </c>
      <c r="Q134" s="304">
        <f t="shared" ca="1" si="77"/>
        <v>996.51038961038944</v>
      </c>
      <c r="R134" s="306">
        <f t="shared" ca="1" si="78"/>
        <v>0.49918420245800738</v>
      </c>
      <c r="S134" s="307">
        <f t="shared" ca="1" si="79"/>
        <v>13.61816680840227</v>
      </c>
      <c r="T134" s="304">
        <f t="shared" ca="1" si="59"/>
        <v>133.59421639042628</v>
      </c>
      <c r="U134" s="311">
        <f t="shared" ca="1" si="60"/>
        <v>0</v>
      </c>
      <c r="V134" s="306">
        <f t="shared" ca="1" si="61"/>
        <v>1.2186459138364718</v>
      </c>
      <c r="W134" s="304">
        <f t="shared" ca="1" si="62"/>
        <v>18.740983621647057</v>
      </c>
      <c r="Y134" s="314" t="str">
        <f t="shared" ca="1" si="80"/>
        <v/>
      </c>
      <c r="Z134" s="315" t="str">
        <f t="shared" ca="1" si="81"/>
        <v/>
      </c>
      <c r="AA134" s="316" t="str">
        <f t="shared" ca="1" si="82"/>
        <v/>
      </c>
      <c r="AC134" s="310" t="e">
        <f t="shared" ca="1" si="83"/>
        <v>#N/A</v>
      </c>
      <c r="AD134" s="323" t="e">
        <f t="shared" ca="1" si="84"/>
        <v>#N/A</v>
      </c>
      <c r="AE134" s="324">
        <f t="shared" ca="1" si="63"/>
        <v>52.004966247768643</v>
      </c>
      <c r="AG134" s="306">
        <f t="shared" ca="1" si="85"/>
        <v>62.227862135924497</v>
      </c>
      <c r="AH134" s="304">
        <f t="shared" ca="1" si="86"/>
        <v>71.819583707482195</v>
      </c>
    </row>
    <row r="135" spans="1:34" x14ac:dyDescent="0.25">
      <c r="A135" s="347">
        <f t="shared" ca="1" si="64"/>
        <v>0.01</v>
      </c>
      <c r="B135" s="304">
        <f t="shared" ca="1" si="65"/>
        <v>1.3100000000000009</v>
      </c>
      <c r="D135" s="306">
        <f t="shared" ca="1" si="66"/>
        <v>15.065402756572972</v>
      </c>
      <c r="E135" s="307">
        <f t="shared" ca="1" si="67"/>
        <v>60.322786531105834</v>
      </c>
      <c r="F135" s="304">
        <f t="shared" ca="1" si="68"/>
        <v>62.175597585347901</v>
      </c>
      <c r="G135" s="306">
        <f t="shared" ca="1" si="69"/>
        <v>17.386046558510756</v>
      </c>
      <c r="H135" s="307">
        <f t="shared" ca="1" si="70"/>
        <v>80.837797407449798</v>
      </c>
      <c r="I135" s="304">
        <f t="shared" ca="1" si="71"/>
        <v>82.686299376756494</v>
      </c>
      <c r="J135" s="306">
        <f t="shared" ca="1" si="72"/>
        <v>10.590361195354962</v>
      </c>
      <c r="K135" s="307">
        <f t="shared" ca="1" si="73"/>
        <v>52.810328082516584</v>
      </c>
      <c r="L135" s="304">
        <f t="shared" ca="1" si="58"/>
        <v>53.861735048465711</v>
      </c>
      <c r="M135" s="306">
        <f t="shared" ca="1" si="74"/>
        <v>1.3589501690204511</v>
      </c>
      <c r="N135" s="304">
        <f t="shared" ca="1" si="75"/>
        <v>77.862109253461725</v>
      </c>
      <c r="P135" s="310">
        <f t="shared" ca="1" si="76"/>
        <v>7</v>
      </c>
      <c r="Q135" s="304">
        <f t="shared" ca="1" si="77"/>
        <v>995.25064935064916</v>
      </c>
      <c r="R135" s="306">
        <f t="shared" ca="1" si="78"/>
        <v>0.49855315792157406</v>
      </c>
      <c r="S135" s="307">
        <f t="shared" ca="1" si="79"/>
        <v>13.613181276823054</v>
      </c>
      <c r="T135" s="304">
        <f t="shared" ca="1" si="59"/>
        <v>133.54530832563418</v>
      </c>
      <c r="U135" s="311">
        <f t="shared" ca="1" si="60"/>
        <v>0</v>
      </c>
      <c r="V135" s="306">
        <f t="shared" ca="1" si="61"/>
        <v>1.2185477720237063</v>
      </c>
      <c r="W135" s="304">
        <f t="shared" ca="1" si="62"/>
        <v>19.024349405880368</v>
      </c>
      <c r="Y135" s="314" t="str">
        <f t="shared" ca="1" si="80"/>
        <v/>
      </c>
      <c r="Z135" s="315" t="str">
        <f t="shared" ca="1" si="81"/>
        <v/>
      </c>
      <c r="AA135" s="316" t="str">
        <f t="shared" ca="1" si="82"/>
        <v/>
      </c>
      <c r="AC135" s="310" t="e">
        <f t="shared" ca="1" si="83"/>
        <v>#N/A</v>
      </c>
      <c r="AD135" s="323" t="e">
        <f t="shared" ca="1" si="84"/>
        <v>#N/A</v>
      </c>
      <c r="AE135" s="324">
        <f t="shared" ca="1" si="63"/>
        <v>52.810328082516584</v>
      </c>
      <c r="AG135" s="306">
        <f t="shared" ca="1" si="85"/>
        <v>62.141451967445441</v>
      </c>
      <c r="AH135" s="304">
        <f t="shared" ca="1" si="86"/>
        <v>71.732657185102354</v>
      </c>
    </row>
    <row r="136" spans="1:34" x14ac:dyDescent="0.25">
      <c r="A136" s="347">
        <f t="shared" ca="1" si="64"/>
        <v>0.01</v>
      </c>
      <c r="B136" s="304">
        <f t="shared" ca="1" si="65"/>
        <v>1.320000000000001</v>
      </c>
      <c r="D136" s="306">
        <f t="shared" ca="1" si="66"/>
        <v>15.064553142678621</v>
      </c>
      <c r="E136" s="307">
        <f t="shared" ca="1" si="67"/>
        <v>60.233830314344175</v>
      </c>
      <c r="F136" s="304">
        <f t="shared" ca="1" si="68"/>
        <v>62.089089828453723</v>
      </c>
      <c r="G136" s="306">
        <f t="shared" ca="1" si="69"/>
        <v>17.536692089937542</v>
      </c>
      <c r="H136" s="307">
        <f t="shared" ca="1" si="70"/>
        <v>81.440135710593239</v>
      </c>
      <c r="I136" s="304">
        <f t="shared" ca="1" si="71"/>
        <v>83.306850102600336</v>
      </c>
      <c r="J136" s="306">
        <f t="shared" ca="1" si="72"/>
        <v>10.764974888597203</v>
      </c>
      <c r="K136" s="307">
        <f t="shared" ca="1" si="73"/>
        <v>53.621717748106796</v>
      </c>
      <c r="L136" s="304">
        <f t="shared" ca="1" si="58"/>
        <v>54.69162000352302</v>
      </c>
      <c r="M136" s="306">
        <f t="shared" ca="1" si="74"/>
        <v>1.3587025662037702</v>
      </c>
      <c r="N136" s="304">
        <f t="shared" ca="1" si="75"/>
        <v>77.847922657070356</v>
      </c>
      <c r="P136" s="310">
        <f t="shared" ca="1" si="76"/>
        <v>7</v>
      </c>
      <c r="Q136" s="304">
        <f t="shared" ca="1" si="77"/>
        <v>993.99090909090899</v>
      </c>
      <c r="R136" s="306">
        <f t="shared" ca="1" si="78"/>
        <v>0.49792211338514075</v>
      </c>
      <c r="S136" s="307">
        <f t="shared" ca="1" si="79"/>
        <v>13.608202055689203</v>
      </c>
      <c r="T136" s="304">
        <f t="shared" ca="1" si="59"/>
        <v>133.49646216631109</v>
      </c>
      <c r="U136" s="311">
        <f t="shared" ca="1" si="60"/>
        <v>0</v>
      </c>
      <c r="V136" s="306">
        <f t="shared" ca="1" si="61"/>
        <v>1.2184489036278872</v>
      </c>
      <c r="W136" s="304">
        <f t="shared" ca="1" si="62"/>
        <v>19.309405004214245</v>
      </c>
      <c r="Y136" s="314" t="str">
        <f t="shared" ca="1" si="80"/>
        <v/>
      </c>
      <c r="Z136" s="315" t="str">
        <f t="shared" ca="1" si="81"/>
        <v/>
      </c>
      <c r="AA136" s="316" t="str">
        <f t="shared" ca="1" si="82"/>
        <v/>
      </c>
      <c r="AC136" s="310" t="e">
        <f t="shared" ca="1" si="83"/>
        <v>#N/A</v>
      </c>
      <c r="AD136" s="323" t="e">
        <f t="shared" ca="1" si="84"/>
        <v>#N/A</v>
      </c>
      <c r="AE136" s="324">
        <f t="shared" ca="1" si="63"/>
        <v>53.621717748106796</v>
      </c>
      <c r="AG136" s="306">
        <f t="shared" ca="1" si="85"/>
        <v>62.054817219088221</v>
      </c>
      <c r="AH136" s="304">
        <f t="shared" ca="1" si="86"/>
        <v>71.64550876707645</v>
      </c>
    </row>
    <row r="137" spans="1:34" x14ac:dyDescent="0.25">
      <c r="A137" s="347">
        <f t="shared" ca="1" si="64"/>
        <v>0.01</v>
      </c>
      <c r="B137" s="304">
        <f t="shared" ca="1" si="65"/>
        <v>1.330000000000001</v>
      </c>
      <c r="D137" s="306">
        <f t="shared" ca="1" si="66"/>
        <v>15.06350379318002</v>
      </c>
      <c r="E137" s="307">
        <f t="shared" ca="1" si="67"/>
        <v>60.14468626021737</v>
      </c>
      <c r="F137" s="304">
        <f t="shared" ca="1" si="68"/>
        <v>62.002358276658548</v>
      </c>
      <c r="G137" s="306">
        <f t="shared" ca="1" si="69"/>
        <v>17.687327127869342</v>
      </c>
      <c r="H137" s="307">
        <f t="shared" ca="1" si="70"/>
        <v>82.041582573195413</v>
      </c>
      <c r="I137" s="304">
        <f t="shared" ca="1" si="71"/>
        <v>83.926532229341532</v>
      </c>
      <c r="J137" s="306">
        <f t="shared" ca="1" si="72"/>
        <v>10.941094984686238</v>
      </c>
      <c r="K137" s="307">
        <f t="shared" ca="1" si="73"/>
        <v>54.439126339525743</v>
      </c>
      <c r="L137" s="304">
        <f t="shared" ca="1" si="58"/>
        <v>55.527705121630696</v>
      </c>
      <c r="M137" s="306">
        <f t="shared" ca="1" si="74"/>
        <v>1.3584565086535156</v>
      </c>
      <c r="N137" s="304">
        <f t="shared" ca="1" si="75"/>
        <v>77.833824597923439</v>
      </c>
      <c r="P137" s="310">
        <f t="shared" ca="1" si="76"/>
        <v>7</v>
      </c>
      <c r="Q137" s="304">
        <f t="shared" ca="1" si="77"/>
        <v>992.7311688311687</v>
      </c>
      <c r="R137" s="306">
        <f t="shared" ca="1" si="78"/>
        <v>0.49729106884870744</v>
      </c>
      <c r="S137" s="307">
        <f t="shared" ca="1" si="79"/>
        <v>13.603229145000716</v>
      </c>
      <c r="T137" s="304">
        <f t="shared" ca="1" si="59"/>
        <v>133.44767791245704</v>
      </c>
      <c r="U137" s="311">
        <f t="shared" ca="1" si="60"/>
        <v>0</v>
      </c>
      <c r="V137" s="306">
        <f t="shared" ca="1" si="61"/>
        <v>1.2183493099113072</v>
      </c>
      <c r="W137" s="304">
        <f t="shared" ca="1" si="62"/>
        <v>19.596139479343694</v>
      </c>
      <c r="Y137" s="314" t="str">
        <f t="shared" ca="1" si="80"/>
        <v/>
      </c>
      <c r="Z137" s="315" t="str">
        <f t="shared" ca="1" si="81"/>
        <v/>
      </c>
      <c r="AA137" s="316" t="str">
        <f t="shared" ca="1" si="82"/>
        <v/>
      </c>
      <c r="AC137" s="310" t="e">
        <f t="shared" ca="1" si="83"/>
        <v>#N/A</v>
      </c>
      <c r="AD137" s="323" t="e">
        <f t="shared" ca="1" si="84"/>
        <v>#N/A</v>
      </c>
      <c r="AE137" s="324">
        <f t="shared" ca="1" si="63"/>
        <v>54.439126339525743</v>
      </c>
      <c r="AG137" s="306">
        <f t="shared" ca="1" si="85"/>
        <v>61.967958610388294</v>
      </c>
      <c r="AH137" s="304">
        <f t="shared" ca="1" si="86"/>
        <v>71.5581391338022</v>
      </c>
    </row>
    <row r="138" spans="1:34" x14ac:dyDescent="0.25">
      <c r="A138" s="347">
        <f t="shared" ca="1" si="64"/>
        <v>0.01</v>
      </c>
      <c r="B138" s="304">
        <f t="shared" ca="1" si="65"/>
        <v>1.340000000000001</v>
      </c>
      <c r="D138" s="306">
        <f t="shared" ca="1" si="66"/>
        <v>15.062256786214778</v>
      </c>
      <c r="E138" s="307">
        <f t="shared" ca="1" si="67"/>
        <v>60.055354721562807</v>
      </c>
      <c r="F138" s="304">
        <f t="shared" ca="1" si="68"/>
        <v>61.915403658755302</v>
      </c>
      <c r="G138" s="306">
        <f t="shared" ca="1" si="69"/>
        <v>17.837949695731488</v>
      </c>
      <c r="H138" s="307">
        <f t="shared" ca="1" si="70"/>
        <v>82.642136120411038</v>
      </c>
      <c r="I138" s="304">
        <f t="shared" ca="1" si="71"/>
        <v>84.545343525779074</v>
      </c>
      <c r="J138" s="306">
        <f t="shared" ca="1" si="72"/>
        <v>11.118721368804243</v>
      </c>
      <c r="K138" s="307">
        <f t="shared" ca="1" si="73"/>
        <v>55.262544932993777</v>
      </c>
      <c r="L138" s="304">
        <f t="shared" ca="1" si="58"/>
        <v>56.369981704345619</v>
      </c>
      <c r="M138" s="306">
        <f t="shared" ca="1" si="74"/>
        <v>1.3582119729665685</v>
      </c>
      <c r="N138" s="304">
        <f t="shared" ca="1" si="75"/>
        <v>77.819813735121031</v>
      </c>
      <c r="P138" s="310">
        <f t="shared" ca="1" si="76"/>
        <v>7</v>
      </c>
      <c r="Q138" s="304">
        <f t="shared" ca="1" si="77"/>
        <v>991.47142857142842</v>
      </c>
      <c r="R138" s="306">
        <f t="shared" ca="1" si="78"/>
        <v>0.49666002431227407</v>
      </c>
      <c r="S138" s="307">
        <f t="shared" ca="1" si="79"/>
        <v>13.598262544757594</v>
      </c>
      <c r="T138" s="304">
        <f t="shared" ca="1" si="59"/>
        <v>133.398955564072</v>
      </c>
      <c r="U138" s="311">
        <f t="shared" ca="1" si="60"/>
        <v>0</v>
      </c>
      <c r="V138" s="306">
        <f t="shared" ca="1" si="61"/>
        <v>1.2182489921394701</v>
      </c>
      <c r="W138" s="304">
        <f t="shared" ca="1" si="62"/>
        <v>19.884541877360427</v>
      </c>
      <c r="Y138" s="314" t="str">
        <f t="shared" ca="1" si="80"/>
        <v/>
      </c>
      <c r="Z138" s="315" t="str">
        <f t="shared" ca="1" si="81"/>
        <v/>
      </c>
      <c r="AA138" s="316" t="str">
        <f t="shared" ca="1" si="82"/>
        <v/>
      </c>
      <c r="AC138" s="310" t="e">
        <f t="shared" ca="1" si="83"/>
        <v>#N/A</v>
      </c>
      <c r="AD138" s="323" t="e">
        <f t="shared" ca="1" si="84"/>
        <v>#N/A</v>
      </c>
      <c r="AE138" s="324">
        <f t="shared" ca="1" si="63"/>
        <v>55.262544932993777</v>
      </c>
      <c r="AG138" s="306">
        <f t="shared" ca="1" si="85"/>
        <v>61.880876862891597</v>
      </c>
      <c r="AH138" s="304">
        <f t="shared" ca="1" si="86"/>
        <v>71.470548968534388</v>
      </c>
    </row>
    <row r="139" spans="1:34" x14ac:dyDescent="0.25">
      <c r="A139" s="347">
        <f t="shared" ca="1" si="64"/>
        <v>0.01</v>
      </c>
      <c r="B139" s="304">
        <f t="shared" ca="1" si="65"/>
        <v>1.350000000000001</v>
      </c>
      <c r="D139" s="306">
        <f t="shared" ca="1" si="66"/>
        <v>15.060814156804684</v>
      </c>
      <c r="E139" s="307">
        <f t="shared" ca="1" si="67"/>
        <v>59.965836060839706</v>
      </c>
      <c r="F139" s="304">
        <f t="shared" ca="1" si="68"/>
        <v>61.828226705456402</v>
      </c>
      <c r="G139" s="306">
        <f t="shared" ca="1" si="69"/>
        <v>17.988557837299535</v>
      </c>
      <c r="H139" s="307">
        <f t="shared" ca="1" si="70"/>
        <v>83.24179448101944</v>
      </c>
      <c r="I139" s="304">
        <f t="shared" ca="1" si="71"/>
        <v>85.163281767943559</v>
      </c>
      <c r="J139" s="306">
        <f t="shared" ca="1" si="72"/>
        <v>11.297853906469397</v>
      </c>
      <c r="K139" s="307">
        <f t="shared" ca="1" si="73"/>
        <v>56.091964586000927</v>
      </c>
      <c r="L139" s="304">
        <f t="shared" ca="1" si="58"/>
        <v>57.218441030922087</v>
      </c>
      <c r="M139" s="306">
        <f t="shared" ca="1" si="74"/>
        <v>1.3579689362636904</v>
      </c>
      <c r="N139" s="304">
        <f t="shared" ca="1" si="75"/>
        <v>77.805888757779343</v>
      </c>
      <c r="P139" s="310">
        <f t="shared" ca="1" si="76"/>
        <v>7</v>
      </c>
      <c r="Q139" s="304">
        <f t="shared" ca="1" si="77"/>
        <v>990.21168831168814</v>
      </c>
      <c r="R139" s="306">
        <f t="shared" ca="1" si="78"/>
        <v>0.49602897977584076</v>
      </c>
      <c r="S139" s="307">
        <f t="shared" ca="1" si="79"/>
        <v>13.593302254959836</v>
      </c>
      <c r="T139" s="304">
        <f t="shared" ca="1" si="59"/>
        <v>133.35029512115599</v>
      </c>
      <c r="U139" s="311">
        <f t="shared" ca="1" si="60"/>
        <v>0</v>
      </c>
      <c r="V139" s="306">
        <f t="shared" ca="1" si="61"/>
        <v>1.2181479515810778</v>
      </c>
      <c r="W139" s="304">
        <f t="shared" ca="1" si="62"/>
        <v>20.174601228082068</v>
      </c>
      <c r="Y139" s="314" t="str">
        <f t="shared" ca="1" si="80"/>
        <v/>
      </c>
      <c r="Z139" s="315" t="str">
        <f t="shared" ca="1" si="81"/>
        <v/>
      </c>
      <c r="AA139" s="316" t="str">
        <f t="shared" ca="1" si="82"/>
        <v/>
      </c>
      <c r="AC139" s="310" t="e">
        <f t="shared" ca="1" si="83"/>
        <v>#N/A</v>
      </c>
      <c r="AD139" s="323" t="e">
        <f t="shared" ca="1" si="84"/>
        <v>#N/A</v>
      </c>
      <c r="AE139" s="324">
        <f t="shared" ca="1" si="63"/>
        <v>56.091964586000927</v>
      </c>
      <c r="AG139" s="306">
        <f t="shared" ca="1" si="85"/>
        <v>61.793572700157391</v>
      </c>
      <c r="AH139" s="304">
        <f t="shared" ca="1" si="86"/>
        <v>71.382738957362704</v>
      </c>
    </row>
    <row r="140" spans="1:34" x14ac:dyDescent="0.25">
      <c r="A140" s="347">
        <f t="shared" ca="1" si="64"/>
        <v>0.01</v>
      </c>
      <c r="B140" s="304">
        <f t="shared" ca="1" si="65"/>
        <v>1.360000000000001</v>
      </c>
      <c r="D140" s="306">
        <f t="shared" ca="1" si="66"/>
        <v>15.059177898180341</v>
      </c>
      <c r="E140" s="307">
        <f t="shared" ca="1" si="67"/>
        <v>59.876130649905548</v>
      </c>
      <c r="F140" s="304">
        <f t="shared" ca="1" si="68"/>
        <v>61.740828149398851</v>
      </c>
      <c r="G140" s="306">
        <f t="shared" ca="1" si="69"/>
        <v>18.139149616281337</v>
      </c>
      <c r="H140" s="307">
        <f t="shared" ca="1" si="70"/>
        <v>83.840555787518497</v>
      </c>
      <c r="I140" s="304">
        <f t="shared" ca="1" si="71"/>
        <v>85.780344739117481</v>
      </c>
      <c r="J140" s="306">
        <f t="shared" ca="1" si="72"/>
        <v>11.478492443737302</v>
      </c>
      <c r="K140" s="307">
        <f t="shared" ca="1" si="73"/>
        <v>56.927376337343617</v>
      </c>
      <c r="L140" s="304">
        <f t="shared" ca="1" si="58"/>
        <v>58.073074358384751</v>
      </c>
      <c r="M140" s="306">
        <f t="shared" ca="1" si="74"/>
        <v>1.3577273761737896</v>
      </c>
      <c r="N140" s="304">
        <f t="shared" ca="1" si="75"/>
        <v>77.792048384129231</v>
      </c>
      <c r="P140" s="310">
        <f t="shared" ca="1" si="76"/>
        <v>7</v>
      </c>
      <c r="Q140" s="304">
        <f t="shared" ca="1" si="77"/>
        <v>988.95194805194785</v>
      </c>
      <c r="R140" s="306">
        <f t="shared" ca="1" si="78"/>
        <v>0.49539793523940739</v>
      </c>
      <c r="S140" s="307">
        <f t="shared" ca="1" si="79"/>
        <v>13.588348275607443</v>
      </c>
      <c r="T140" s="304">
        <f t="shared" ca="1" si="59"/>
        <v>133.30169658370903</v>
      </c>
      <c r="U140" s="311">
        <f t="shared" ca="1" si="60"/>
        <v>0</v>
      </c>
      <c r="V140" s="306">
        <f t="shared" ca="1" si="61"/>
        <v>1.2180461895080186</v>
      </c>
      <c r="W140" s="304">
        <f t="shared" ca="1" si="62"/>
        <v>20.466306545381439</v>
      </c>
      <c r="Y140" s="314" t="str">
        <f t="shared" ca="1" si="80"/>
        <v/>
      </c>
      <c r="Z140" s="315" t="str">
        <f t="shared" ca="1" si="81"/>
        <v/>
      </c>
      <c r="AA140" s="316" t="str">
        <f t="shared" ca="1" si="82"/>
        <v/>
      </c>
      <c r="AC140" s="310" t="e">
        <f t="shared" ca="1" si="83"/>
        <v>#N/A</v>
      </c>
      <c r="AD140" s="323" t="e">
        <f t="shared" ca="1" si="84"/>
        <v>#N/A</v>
      </c>
      <c r="AE140" s="324">
        <f t="shared" ca="1" si="63"/>
        <v>56.927376337343617</v>
      </c>
      <c r="AG140" s="306">
        <f t="shared" ca="1" si="85"/>
        <v>61.70604684775995</v>
      </c>
      <c r="AH140" s="304">
        <f t="shared" ca="1" si="86"/>
        <v>71.294709789189469</v>
      </c>
    </row>
    <row r="141" spans="1:34" x14ac:dyDescent="0.25">
      <c r="A141" s="347">
        <f t="shared" ca="1" si="64"/>
        <v>0.01</v>
      </c>
      <c r="B141" s="304">
        <f t="shared" ca="1" si="65"/>
        <v>1.370000000000001</v>
      </c>
      <c r="D141" s="306">
        <f t="shared" ca="1" si="66"/>
        <v>15.05734996305565</v>
      </c>
      <c r="E141" s="307">
        <f t="shared" ca="1" si="67"/>
        <v>59.786238869800002</v>
      </c>
      <c r="F141" s="304">
        <f t="shared" ca="1" si="68"/>
        <v>61.653208725148417</v>
      </c>
      <c r="G141" s="306">
        <f t="shared" ca="1" si="69"/>
        <v>18.289723115911894</v>
      </c>
      <c r="H141" s="307">
        <f t="shared" ca="1" si="70"/>
        <v>84.438418176216501</v>
      </c>
      <c r="I141" s="304">
        <f t="shared" ca="1" si="71"/>
        <v>86.396530229855472</v>
      </c>
      <c r="J141" s="306">
        <f t="shared" ca="1" si="72"/>
        <v>11.660636807398268</v>
      </c>
      <c r="K141" s="307">
        <f t="shared" ca="1" si="73"/>
        <v>57.768771207162288</v>
      </c>
      <c r="L141" s="304">
        <f t="shared" ca="1" si="58"/>
        <v>58.933872921601832</v>
      </c>
      <c r="M141" s="306">
        <f t="shared" ca="1" si="74"/>
        <v>1.3574872708187762</v>
      </c>
      <c r="N141" s="304">
        <f t="shared" ca="1" si="75"/>
        <v>77.778291360648467</v>
      </c>
      <c r="P141" s="310">
        <f t="shared" ca="1" si="76"/>
        <v>7</v>
      </c>
      <c r="Q141" s="304">
        <f t="shared" ca="1" si="77"/>
        <v>987.69220779220768</v>
      </c>
      <c r="R141" s="306">
        <f t="shared" ca="1" si="78"/>
        <v>0.49476689070297414</v>
      </c>
      <c r="S141" s="307">
        <f t="shared" ca="1" si="79"/>
        <v>13.583400606700414</v>
      </c>
      <c r="T141" s="304">
        <f t="shared" ca="1" si="59"/>
        <v>133.25315995173108</v>
      </c>
      <c r="U141" s="311">
        <f t="shared" ca="1" si="60"/>
        <v>0</v>
      </c>
      <c r="V141" s="306">
        <f t="shared" ca="1" si="61"/>
        <v>1.2179437071953525</v>
      </c>
      <c r="W141" s="304">
        <f t="shared" ca="1" si="62"/>
        <v>20.759646827515759</v>
      </c>
      <c r="Y141" s="314" t="str">
        <f t="shared" ca="1" si="80"/>
        <v/>
      </c>
      <c r="Z141" s="315" t="str">
        <f t="shared" ca="1" si="81"/>
        <v/>
      </c>
      <c r="AA141" s="316" t="str">
        <f t="shared" ca="1" si="82"/>
        <v/>
      </c>
      <c r="AC141" s="310" t="e">
        <f t="shared" ca="1" si="83"/>
        <v>#N/A</v>
      </c>
      <c r="AD141" s="323" t="e">
        <f t="shared" ca="1" si="84"/>
        <v>#N/A</v>
      </c>
      <c r="AE141" s="324">
        <f t="shared" ca="1" si="63"/>
        <v>57.768771207162288</v>
      </c>
      <c r="AG141" s="306">
        <f t="shared" ca="1" si="85"/>
        <v>61.618300033289508</v>
      </c>
      <c r="AH141" s="304">
        <f t="shared" ca="1" si="86"/>
        <v>71.206462155707413</v>
      </c>
    </row>
    <row r="142" spans="1:34" x14ac:dyDescent="0.25">
      <c r="A142" s="347">
        <f t="shared" ca="1" si="64"/>
        <v>0.01</v>
      </c>
      <c r="B142" s="304">
        <f t="shared" ca="1" si="65"/>
        <v>1.380000000000001</v>
      </c>
      <c r="D142" s="306">
        <f t="shared" ca="1" si="66"/>
        <v>15.0553322648544</v>
      </c>
      <c r="E142" s="307">
        <f t="shared" ca="1" si="67"/>
        <v>59.696161110535655</v>
      </c>
      <c r="F142" s="304">
        <f t="shared" ca="1" si="68"/>
        <v>61.56536916920254</v>
      </c>
      <c r="G142" s="306">
        <f t="shared" ca="1" si="69"/>
        <v>18.440276438560439</v>
      </c>
      <c r="H142" s="307">
        <f t="shared" ca="1" si="70"/>
        <v>85.035379787321858</v>
      </c>
      <c r="I142" s="304">
        <f t="shared" ca="1" si="71"/>
        <v>87.011836038004589</v>
      </c>
      <c r="J142" s="306">
        <f t="shared" ca="1" si="72"/>
        <v>11.844286805170629</v>
      </c>
      <c r="K142" s="307">
        <f t="shared" ca="1" si="73"/>
        <v>58.616140196979977</v>
      </c>
      <c r="L142" s="304">
        <f t="shared" ca="1" si="58"/>
        <v>59.800827933358505</v>
      </c>
      <c r="M142" s="306">
        <f t="shared" ca="1" si="74"/>
        <v>1.3572485987989826</v>
      </c>
      <c r="N142" s="304">
        <f t="shared" ca="1" si="75"/>
        <v>77.764616461226439</v>
      </c>
      <c r="P142" s="310">
        <f t="shared" ca="1" si="76"/>
        <v>7</v>
      </c>
      <c r="Q142" s="304">
        <f t="shared" ca="1" si="77"/>
        <v>986.4324675324674</v>
      </c>
      <c r="R142" s="306">
        <f t="shared" ca="1" si="78"/>
        <v>0.49413584616654077</v>
      </c>
      <c r="S142" s="307">
        <f t="shared" ca="1" si="79"/>
        <v>13.578459248238747</v>
      </c>
      <c r="T142" s="304">
        <f t="shared" ca="1" si="59"/>
        <v>133.20468522522211</v>
      </c>
      <c r="U142" s="311">
        <f t="shared" ca="1" si="60"/>
        <v>0</v>
      </c>
      <c r="V142" s="306">
        <f t="shared" ca="1" si="61"/>
        <v>1.2178405059213029</v>
      </c>
      <c r="W142" s="304">
        <f t="shared" ca="1" si="62"/>
        <v>21.054611057455986</v>
      </c>
      <c r="Y142" s="314" t="str">
        <f t="shared" ca="1" si="80"/>
        <v/>
      </c>
      <c r="Z142" s="315" t="str">
        <f t="shared" ca="1" si="81"/>
        <v/>
      </c>
      <c r="AA142" s="316" t="str">
        <f t="shared" ca="1" si="82"/>
        <v/>
      </c>
      <c r="AC142" s="310" t="e">
        <f t="shared" ca="1" si="83"/>
        <v>#N/A</v>
      </c>
      <c r="AD142" s="323" t="e">
        <f t="shared" ca="1" si="84"/>
        <v>#N/A</v>
      </c>
      <c r="AE142" s="324">
        <f t="shared" ca="1" si="63"/>
        <v>58.616140196979977</v>
      </c>
      <c r="AG142" s="306">
        <f t="shared" ca="1" si="85"/>
        <v>61.530332986352114</v>
      </c>
      <c r="AH142" s="304">
        <f t="shared" ca="1" si="86"/>
        <v>71.117996751377248</v>
      </c>
    </row>
    <row r="143" spans="1:34" x14ac:dyDescent="0.25">
      <c r="A143" s="347">
        <f t="shared" ca="1" si="64"/>
        <v>0.01</v>
      </c>
      <c r="B143" s="304">
        <f t="shared" ca="1" si="65"/>
        <v>1.390000000000001</v>
      </c>
      <c r="D143" s="306">
        <f t="shared" ca="1" si="66"/>
        <v>15.053126678891033</v>
      </c>
      <c r="E143" s="307">
        <f t="shared" ca="1" si="67"/>
        <v>59.605897770895552</v>
      </c>
      <c r="F143" s="304">
        <f t="shared" ca="1" si="68"/>
        <v>61.477310219992482</v>
      </c>
      <c r="G143" s="306">
        <f t="shared" ca="1" si="69"/>
        <v>18.590807705349349</v>
      </c>
      <c r="H143" s="307">
        <f t="shared" ca="1" si="70"/>
        <v>85.631438765030808</v>
      </c>
      <c r="I143" s="304">
        <f t="shared" ca="1" si="71"/>
        <v>87.62625996872454</v>
      </c>
      <c r="J143" s="306">
        <f t="shared" ca="1" si="72"/>
        <v>12.029442225890179</v>
      </c>
      <c r="K143" s="307">
        <f t="shared" ca="1" si="73"/>
        <v>59.46947428974174</v>
      </c>
      <c r="L143" s="304">
        <f t="shared" ca="1" si="58"/>
        <v>60.673930584430437</v>
      </c>
      <c r="M143" s="306">
        <f t="shared" ca="1" si="74"/>
        <v>1.3570113391791212</v>
      </c>
      <c r="N143" s="304">
        <f t="shared" ca="1" si="75"/>
        <v>77.751022486359503</v>
      </c>
      <c r="P143" s="310">
        <f t="shared" ca="1" si="76"/>
        <v>7</v>
      </c>
      <c r="Q143" s="304">
        <f t="shared" ca="1" si="77"/>
        <v>985.17272727272712</v>
      </c>
      <c r="R143" s="306">
        <f t="shared" ca="1" si="78"/>
        <v>0.49350480163010746</v>
      </c>
      <c r="S143" s="307">
        <f t="shared" ca="1" si="79"/>
        <v>13.573524200222446</v>
      </c>
      <c r="T143" s="304">
        <f t="shared" ca="1" si="59"/>
        <v>133.1562724041822</v>
      </c>
      <c r="U143" s="311">
        <f t="shared" ca="1" si="60"/>
        <v>0</v>
      </c>
      <c r="V143" s="306">
        <f t="shared" ca="1" si="61"/>
        <v>1.2177365869672372</v>
      </c>
      <c r="W143" s="304">
        <f t="shared" ca="1" si="62"/>
        <v>21.35118820321593</v>
      </c>
      <c r="Y143" s="314" t="str">
        <f t="shared" ca="1" si="80"/>
        <v/>
      </c>
      <c r="Z143" s="315" t="str">
        <f t="shared" ca="1" si="81"/>
        <v/>
      </c>
      <c r="AA143" s="316" t="str">
        <f t="shared" ca="1" si="82"/>
        <v/>
      </c>
      <c r="AC143" s="310" t="e">
        <f t="shared" ca="1" si="83"/>
        <v>#N/A</v>
      </c>
      <c r="AD143" s="323" t="e">
        <f t="shared" ca="1" si="84"/>
        <v>#N/A</v>
      </c>
      <c r="AE143" s="324">
        <f t="shared" ca="1" si="63"/>
        <v>59.46947428974174</v>
      </c>
      <c r="AG143" s="306">
        <f t="shared" ca="1" si="85"/>
        <v>61.442146438568678</v>
      </c>
      <c r="AH143" s="304">
        <f t="shared" ca="1" si="86"/>
        <v>71.029314273405205</v>
      </c>
    </row>
    <row r="144" spans="1:34" x14ac:dyDescent="0.25">
      <c r="A144" s="347">
        <f t="shared" ca="1" si="64"/>
        <v>0.01</v>
      </c>
      <c r="B144" s="304">
        <f t="shared" ca="1" si="65"/>
        <v>1.400000000000001</v>
      </c>
      <c r="D144" s="306">
        <f t="shared" ca="1" si="66"/>
        <v>15.050735043507794</v>
      </c>
      <c r="E144" s="307">
        <f t="shared" ca="1" si="67"/>
        <v>59.515449258237169</v>
      </c>
      <c r="F144" s="304">
        <f t="shared" ca="1" si="68"/>
        <v>61.389032617884418</v>
      </c>
      <c r="G144" s="306">
        <f t="shared" ca="1" si="69"/>
        <v>18.741315055784426</v>
      </c>
      <c r="H144" s="307">
        <f t="shared" ca="1" si="70"/>
        <v>86.226593257613175</v>
      </c>
      <c r="I144" s="304">
        <f t="shared" ca="1" si="71"/>
        <v>88.239799834507977</v>
      </c>
      <c r="J144" s="306">
        <f t="shared" ca="1" si="72"/>
        <v>12.216102839695848</v>
      </c>
      <c r="K144" s="307">
        <f t="shared" ca="1" si="73"/>
        <v>60.328764449854958</v>
      </c>
      <c r="L144" s="304">
        <f t="shared" ca="1" si="58"/>
        <v>61.553172043657575</v>
      </c>
      <c r="M144" s="306">
        <f t="shared" ca="1" si="74"/>
        <v>1.3567754714747564</v>
      </c>
      <c r="N144" s="304">
        <f t="shared" ca="1" si="75"/>
        <v>77.737508262375954</v>
      </c>
      <c r="P144" s="310">
        <f t="shared" ca="1" si="76"/>
        <v>7</v>
      </c>
      <c r="Q144" s="304">
        <f t="shared" ca="1" si="77"/>
        <v>983.91298701298683</v>
      </c>
      <c r="R144" s="306">
        <f t="shared" ca="1" si="78"/>
        <v>0.49287375709367409</v>
      </c>
      <c r="S144" s="307">
        <f t="shared" ca="1" si="79"/>
        <v>13.568595462651508</v>
      </c>
      <c r="T144" s="304">
        <f t="shared" ca="1" si="59"/>
        <v>133.10792148861131</v>
      </c>
      <c r="U144" s="311">
        <f t="shared" ca="1" si="60"/>
        <v>0</v>
      </c>
      <c r="V144" s="306">
        <f t="shared" ca="1" si="61"/>
        <v>1.2176319516176584</v>
      </c>
      <c r="W144" s="304">
        <f t="shared" ca="1" si="62"/>
        <v>21.64936721818157</v>
      </c>
      <c r="Y144" s="314" t="str">
        <f t="shared" ca="1" si="80"/>
        <v/>
      </c>
      <c r="Z144" s="315" t="str">
        <f t="shared" ca="1" si="81"/>
        <v/>
      </c>
      <c r="AA144" s="316" t="str">
        <f t="shared" ca="1" si="82"/>
        <v/>
      </c>
      <c r="AC144" s="310" t="e">
        <f t="shared" ca="1" si="83"/>
        <v>#N/A</v>
      </c>
      <c r="AD144" s="323" t="e">
        <f t="shared" ca="1" si="84"/>
        <v>#N/A</v>
      </c>
      <c r="AE144" s="324">
        <f t="shared" ca="1" si="63"/>
        <v>60.328764449854958</v>
      </c>
      <c r="AG144" s="306">
        <f t="shared" ca="1" si="85"/>
        <v>61.353741123573194</v>
      </c>
      <c r="AH144" s="304">
        <f t="shared" ca="1" si="86"/>
        <v>70.940415421720573</v>
      </c>
    </row>
    <row r="145" spans="1:34" x14ac:dyDescent="0.25">
      <c r="A145" s="347">
        <f t="shared" ca="1" si="64"/>
        <v>0.01</v>
      </c>
      <c r="B145" s="304">
        <f t="shared" ca="1" si="65"/>
        <v>1.410000000000001</v>
      </c>
      <c r="D145" s="306">
        <f t="shared" ca="1" si="66"/>
        <v>15.04815916117005</v>
      </c>
      <c r="E145" s="307">
        <f t="shared" ca="1" si="67"/>
        <v>59.42481598830237</v>
      </c>
      <c r="F145" s="304">
        <f t="shared" ca="1" si="68"/>
        <v>61.300537105179615</v>
      </c>
      <c r="G145" s="306">
        <f t="shared" ca="1" si="69"/>
        <v>18.891796647396127</v>
      </c>
      <c r="H145" s="307">
        <f t="shared" ca="1" si="70"/>
        <v>86.820841417496197</v>
      </c>
      <c r="I145" s="304">
        <f t="shared" ca="1" si="71"/>
        <v>88.852453455200603</v>
      </c>
      <c r="J145" s="306">
        <f t="shared" ca="1" si="72"/>
        <v>12.404268398211752</v>
      </c>
      <c r="K145" s="307">
        <f t="shared" ca="1" si="73"/>
        <v>61.194001623230506</v>
      </c>
      <c r="L145" s="304">
        <f t="shared" ca="1" si="58"/>
        <v>62.438543458018081</v>
      </c>
      <c r="M145" s="306">
        <f t="shared" ca="1" si="74"/>
        <v>1.3565409756392701</v>
      </c>
      <c r="N145" s="304">
        <f t="shared" ca="1" si="75"/>
        <v>77.724072640689201</v>
      </c>
      <c r="P145" s="310">
        <f t="shared" ca="1" si="76"/>
        <v>7</v>
      </c>
      <c r="Q145" s="304">
        <f t="shared" ca="1" si="77"/>
        <v>982.65324675324655</v>
      </c>
      <c r="R145" s="306">
        <f t="shared" ca="1" si="78"/>
        <v>0.49224271255724078</v>
      </c>
      <c r="S145" s="307">
        <f t="shared" ca="1" si="79"/>
        <v>13.563673035525936</v>
      </c>
      <c r="T145" s="304">
        <f t="shared" ca="1" si="59"/>
        <v>133.05963247850943</v>
      </c>
      <c r="U145" s="311">
        <f t="shared" ca="1" si="60"/>
        <v>0</v>
      </c>
      <c r="V145" s="306">
        <f t="shared" ca="1" si="61"/>
        <v>1.2175266011601911</v>
      </c>
      <c r="W145" s="304">
        <f t="shared" ca="1" si="62"/>
        <v>21.949137041440164</v>
      </c>
      <c r="Y145" s="314" t="str">
        <f t="shared" ca="1" si="80"/>
        <v/>
      </c>
      <c r="Z145" s="315" t="str">
        <f t="shared" ca="1" si="81"/>
        <v/>
      </c>
      <c r="AA145" s="316" t="str">
        <f t="shared" ca="1" si="82"/>
        <v/>
      </c>
      <c r="AC145" s="310" t="e">
        <f t="shared" ca="1" si="83"/>
        <v>#N/A</v>
      </c>
      <c r="AD145" s="323" t="e">
        <f t="shared" ca="1" si="84"/>
        <v>#N/A</v>
      </c>
      <c r="AE145" s="324">
        <f t="shared" ca="1" si="63"/>
        <v>61.194001623230506</v>
      </c>
      <c r="AG145" s="306">
        <f t="shared" ca="1" si="85"/>
        <v>61.265117777010168</v>
      </c>
      <c r="AH145" s="304">
        <f t="shared" ca="1" si="86"/>
        <v>70.851300898953127</v>
      </c>
    </row>
    <row r="146" spans="1:34" x14ac:dyDescent="0.25">
      <c r="A146" s="347">
        <f t="shared" ca="1" si="64"/>
        <v>0.01</v>
      </c>
      <c r="B146" s="304">
        <f t="shared" ca="1" si="65"/>
        <v>1.420000000000001</v>
      </c>
      <c r="D146" s="306">
        <f t="shared" ca="1" si="66"/>
        <v>15.045400799521619</v>
      </c>
      <c r="E146" s="307">
        <f t="shared" ca="1" si="67"/>
        <v>59.333998385033397</v>
      </c>
      <c r="F146" s="304">
        <f t="shared" ca="1" si="68"/>
        <v>61.211824426113878</v>
      </c>
      <c r="G146" s="306">
        <f t="shared" ca="1" si="69"/>
        <v>19.042250655391342</v>
      </c>
      <c r="H146" s="307">
        <f t="shared" ca="1" si="70"/>
        <v>87.414181401346525</v>
      </c>
      <c r="I146" s="304">
        <f t="shared" ca="1" si="71"/>
        <v>89.464218658021423</v>
      </c>
      <c r="J146" s="306">
        <f t="shared" ca="1" si="72"/>
        <v>12.593938634725689</v>
      </c>
      <c r="K146" s="307">
        <f t="shared" ca="1" si="73"/>
        <v>62.06517673732472</v>
      </c>
      <c r="L146" s="304">
        <f t="shared" ca="1" si="58"/>
        <v>63.330035952702488</v>
      </c>
      <c r="M146" s="306">
        <f t="shared" ca="1" si="74"/>
        <v>1.3563078320512971</v>
      </c>
      <c r="N146" s="304">
        <f t="shared" ca="1" si="75"/>
        <v>77.710714497077817</v>
      </c>
      <c r="P146" s="310">
        <f t="shared" ca="1" si="76"/>
        <v>7</v>
      </c>
      <c r="Q146" s="304">
        <f t="shared" ca="1" si="77"/>
        <v>981.39350649350638</v>
      </c>
      <c r="R146" s="306">
        <f t="shared" ca="1" si="78"/>
        <v>0.49161166802080747</v>
      </c>
      <c r="S146" s="307">
        <f t="shared" ca="1" si="79"/>
        <v>13.558756918845727</v>
      </c>
      <c r="T146" s="304">
        <f t="shared" ca="1" si="59"/>
        <v>133.01140537387658</v>
      </c>
      <c r="U146" s="311">
        <f t="shared" ca="1" si="60"/>
        <v>0</v>
      </c>
      <c r="V146" s="306">
        <f t="shared" ca="1" si="61"/>
        <v>1.2174205368855666</v>
      </c>
      <c r="W146" s="304">
        <f t="shared" ca="1" si="62"/>
        <v>22.250486598109333</v>
      </c>
      <c r="Y146" s="314" t="str">
        <f t="shared" ca="1" si="80"/>
        <v/>
      </c>
      <c r="Z146" s="315" t="str">
        <f t="shared" ca="1" si="81"/>
        <v/>
      </c>
      <c r="AA146" s="316" t="str">
        <f t="shared" ca="1" si="82"/>
        <v/>
      </c>
      <c r="AC146" s="310" t="e">
        <f t="shared" ca="1" si="83"/>
        <v>#N/A</v>
      </c>
      <c r="AD146" s="323" t="e">
        <f t="shared" ca="1" si="84"/>
        <v>#N/A</v>
      </c>
      <c r="AE146" s="324">
        <f t="shared" ca="1" si="63"/>
        <v>62.06517673732472</v>
      </c>
      <c r="AG146" s="306">
        <f t="shared" ca="1" si="85"/>
        <v>61.176277136531219</v>
      </c>
      <c r="AH146" s="304">
        <f t="shared" ca="1" si="86"/>
        <v>70.761971410410453</v>
      </c>
    </row>
    <row r="147" spans="1:34" x14ac:dyDescent="0.25">
      <c r="A147" s="347">
        <f t="shared" ca="1" si="64"/>
        <v>0.01</v>
      </c>
      <c r="B147" s="304">
        <f t="shared" ca="1" si="65"/>
        <v>1.430000000000001</v>
      </c>
      <c r="D147" s="306">
        <f t="shared" ca="1" si="66"/>
        <v>15.042461692401886</v>
      </c>
      <c r="E147" s="307">
        <f t="shared" ca="1" si="67"/>
        <v>59.242996880394287</v>
      </c>
      <c r="F147" s="304">
        <f t="shared" ca="1" si="68"/>
        <v>61.122895326855925</v>
      </c>
      <c r="G147" s="306">
        <f t="shared" ca="1" si="69"/>
        <v>19.192675272315363</v>
      </c>
      <c r="H147" s="307">
        <f t="shared" ca="1" si="70"/>
        <v>88.006611370150466</v>
      </c>
      <c r="I147" s="304">
        <f t="shared" ca="1" si="71"/>
        <v>90.075093277582795</v>
      </c>
      <c r="J147" s="306">
        <f t="shared" ca="1" si="72"/>
        <v>12.785113264364222</v>
      </c>
      <c r="K147" s="307">
        <f t="shared" ca="1" si="73"/>
        <v>62.942280701182206</v>
      </c>
      <c r="L147" s="304">
        <f t="shared" ca="1" si="58"/>
        <v>64.227640631188038</v>
      </c>
      <c r="M147" s="306">
        <f t="shared" ca="1" si="74"/>
        <v>1.3560760215026106</v>
      </c>
      <c r="N147" s="304">
        <f t="shared" ca="1" si="75"/>
        <v>77.697432730991466</v>
      </c>
      <c r="P147" s="310">
        <f t="shared" ca="1" si="76"/>
        <v>7</v>
      </c>
      <c r="Q147" s="304">
        <f t="shared" ca="1" si="77"/>
        <v>980.1337662337661</v>
      </c>
      <c r="R147" s="306">
        <f t="shared" ca="1" si="78"/>
        <v>0.4909806234843741</v>
      </c>
      <c r="S147" s="307">
        <f t="shared" ca="1" si="79"/>
        <v>13.553847112610883</v>
      </c>
      <c r="T147" s="304">
        <f t="shared" ca="1" si="59"/>
        <v>132.96324017471278</v>
      </c>
      <c r="U147" s="311">
        <f t="shared" ca="1" si="60"/>
        <v>0</v>
      </c>
      <c r="V147" s="306">
        <f t="shared" ca="1" si="61"/>
        <v>1.2173137600876103</v>
      </c>
      <c r="W147" s="304">
        <f t="shared" ca="1" si="62"/>
        <v>22.553404799666097</v>
      </c>
      <c r="Y147" s="314" t="str">
        <f t="shared" ca="1" si="80"/>
        <v/>
      </c>
      <c r="Z147" s="315" t="str">
        <f t="shared" ca="1" si="81"/>
        <v/>
      </c>
      <c r="AA147" s="316" t="str">
        <f t="shared" ca="1" si="82"/>
        <v/>
      </c>
      <c r="AC147" s="310" t="e">
        <f t="shared" ca="1" si="83"/>
        <v>#N/A</v>
      </c>
      <c r="AD147" s="323" t="e">
        <f t="shared" ca="1" si="84"/>
        <v>#N/A</v>
      </c>
      <c r="AE147" s="324">
        <f t="shared" ca="1" si="63"/>
        <v>62.942280701182206</v>
      </c>
      <c r="AG147" s="306">
        <f t="shared" ca="1" si="85"/>
        <v>61.087219941790941</v>
      </c>
      <c r="AH147" s="304">
        <f t="shared" ca="1" si="86"/>
        <v>70.672427664055249</v>
      </c>
    </row>
    <row r="148" spans="1:34" x14ac:dyDescent="0.25">
      <c r="A148" s="347">
        <f t="shared" ca="1" si="64"/>
        <v>0.01</v>
      </c>
      <c r="B148" s="304">
        <f t="shared" ca="1" si="65"/>
        <v>1.4400000000000011</v>
      </c>
      <c r="D148" s="306">
        <f t="shared" ca="1" si="66"/>
        <v>15.039343540826376</v>
      </c>
      <c r="E148" s="307">
        <f t="shared" ca="1" si="67"/>
        <v>59.151811914197907</v>
      </c>
      <c r="F148" s="304">
        <f t="shared" ca="1" si="68"/>
        <v>61.033750555505286</v>
      </c>
      <c r="G148" s="306">
        <f t="shared" ca="1" si="69"/>
        <v>19.343068707723628</v>
      </c>
      <c r="H148" s="307">
        <f t="shared" ca="1" si="70"/>
        <v>88.598129489292447</v>
      </c>
      <c r="I148" s="304">
        <f t="shared" ca="1" si="71"/>
        <v>90.685075155910567</v>
      </c>
      <c r="J148" s="306">
        <f t="shared" ca="1" si="72"/>
        <v>12.977791984264417</v>
      </c>
      <c r="K148" s="307">
        <f t="shared" ca="1" si="73"/>
        <v>63.825304405479422</v>
      </c>
      <c r="L148" s="304">
        <f t="shared" ca="1" si="58"/>
        <v>65.131348575313169</v>
      </c>
      <c r="M148" s="306">
        <f t="shared" ca="1" si="74"/>
        <v>1.3558455251864396</v>
      </c>
      <c r="N148" s="304">
        <f t="shared" ca="1" si="75"/>
        <v>77.684226264881545</v>
      </c>
      <c r="P148" s="310">
        <f t="shared" ca="1" si="76"/>
        <v>7</v>
      </c>
      <c r="Q148" s="304">
        <f t="shared" ca="1" si="77"/>
        <v>978.87402597402581</v>
      </c>
      <c r="R148" s="306">
        <f t="shared" ca="1" si="78"/>
        <v>0.49034957894794079</v>
      </c>
      <c r="S148" s="307">
        <f t="shared" ca="1" si="79"/>
        <v>13.548943616821404</v>
      </c>
      <c r="T148" s="304">
        <f t="shared" ca="1" si="59"/>
        <v>132.91513688101799</v>
      </c>
      <c r="U148" s="311">
        <f t="shared" ca="1" si="60"/>
        <v>0</v>
      </c>
      <c r="V148" s="306">
        <f t="shared" ca="1" si="61"/>
        <v>1.2172062720632297</v>
      </c>
      <c r="W148" s="304">
        <f t="shared" ca="1" si="62"/>
        <v>22.857880544275833</v>
      </c>
      <c r="Y148" s="314" t="str">
        <f t="shared" ca="1" si="80"/>
        <v/>
      </c>
      <c r="Z148" s="315" t="str">
        <f t="shared" ca="1" si="81"/>
        <v/>
      </c>
      <c r="AA148" s="316" t="str">
        <f t="shared" ca="1" si="82"/>
        <v/>
      </c>
      <c r="AC148" s="310" t="e">
        <f t="shared" ca="1" si="83"/>
        <v>#N/A</v>
      </c>
      <c r="AD148" s="323" t="e">
        <f t="shared" ca="1" si="84"/>
        <v>#N/A</v>
      </c>
      <c r="AE148" s="324">
        <f t="shared" ca="1" si="63"/>
        <v>63.825304405479422</v>
      </c>
      <c r="AG148" s="306">
        <f t="shared" ca="1" si="85"/>
        <v>60.997946934442183</v>
      </c>
      <c r="AH148" s="304">
        <f t="shared" ca="1" si="86"/>
        <v>70.582670370482617</v>
      </c>
    </row>
    <row r="149" spans="1:34" x14ac:dyDescent="0.25">
      <c r="A149" s="347">
        <f t="shared" ca="1" si="64"/>
        <v>0.01</v>
      </c>
      <c r="B149" s="304">
        <f t="shared" ca="1" si="65"/>
        <v>1.4500000000000011</v>
      </c>
      <c r="D149" s="306">
        <f t="shared" ca="1" si="66"/>
        <v>15.036048013932247</v>
      </c>
      <c r="E149" s="307">
        <f t="shared" ca="1" si="67"/>
        <v>59.060443933937862</v>
      </c>
      <c r="F149" s="304">
        <f t="shared" ca="1" si="68"/>
        <v>60.944390862089129</v>
      </c>
      <c r="G149" s="306">
        <f t="shared" ca="1" si="69"/>
        <v>19.493429187862951</v>
      </c>
      <c r="H149" s="307">
        <f t="shared" ca="1" si="70"/>
        <v>89.188733928631819</v>
      </c>
      <c r="I149" s="304">
        <f t="shared" ca="1" si="71"/>
        <v>91.294162142464003</v>
      </c>
      <c r="J149" s="306">
        <f t="shared" ca="1" si="72"/>
        <v>13.171974473742351</v>
      </c>
      <c r="K149" s="307">
        <f t="shared" ca="1" si="73"/>
        <v>64.71423872256905</v>
      </c>
      <c r="L149" s="304">
        <f t="shared" ca="1" si="58"/>
        <v>66.041150845352291</v>
      </c>
      <c r="M149" s="306">
        <f t="shared" ca="1" si="74"/>
        <v>1.3556163246861974</v>
      </c>
      <c r="N149" s="304">
        <f t="shared" ca="1" si="75"/>
        <v>77.671094043555385</v>
      </c>
      <c r="P149" s="310">
        <f t="shared" ca="1" si="76"/>
        <v>7</v>
      </c>
      <c r="Q149" s="304">
        <f t="shared" ca="1" si="77"/>
        <v>977.61428571428553</v>
      </c>
      <c r="R149" s="306">
        <f t="shared" ca="1" si="78"/>
        <v>0.48971853441150742</v>
      </c>
      <c r="S149" s="307">
        <f t="shared" ca="1" si="79"/>
        <v>13.544046431477289</v>
      </c>
      <c r="T149" s="304">
        <f t="shared" ca="1" si="59"/>
        <v>132.8670954927922</v>
      </c>
      <c r="U149" s="311">
        <f t="shared" ca="1" si="60"/>
        <v>0</v>
      </c>
      <c r="V149" s="306">
        <f t="shared" ca="1" si="61"/>
        <v>1.2170980741123982</v>
      </c>
      <c r="W149" s="304">
        <f t="shared" ca="1" si="62"/>
        <v>23.163902717121047</v>
      </c>
      <c r="Y149" s="314" t="str">
        <f t="shared" ca="1" si="80"/>
        <v/>
      </c>
      <c r="Z149" s="315" t="str">
        <f t="shared" ca="1" si="81"/>
        <v/>
      </c>
      <c r="AA149" s="316" t="str">
        <f t="shared" ca="1" si="82"/>
        <v/>
      </c>
      <c r="AC149" s="310" t="e">
        <f t="shared" ca="1" si="83"/>
        <v>#N/A</v>
      </c>
      <c r="AD149" s="323" t="e">
        <f t="shared" ca="1" si="84"/>
        <v>#N/A</v>
      </c>
      <c r="AE149" s="324">
        <f t="shared" ca="1" si="63"/>
        <v>64.71423872256905</v>
      </c>
      <c r="AG149" s="306">
        <f t="shared" ca="1" si="85"/>
        <v>60.908458858130444</v>
      </c>
      <c r="AH149" s="304">
        <f t="shared" ca="1" si="86"/>
        <v>70.492700242897172</v>
      </c>
    </row>
    <row r="150" spans="1:34" x14ac:dyDescent="0.25">
      <c r="A150" s="347">
        <f t="shared" ca="1" si="64"/>
        <v>0.01</v>
      </c>
      <c r="B150" s="304">
        <f t="shared" ca="1" si="65"/>
        <v>1.4600000000000011</v>
      </c>
      <c r="D150" s="306">
        <f t="shared" ca="1" si="66"/>
        <v>15.032576749890357</v>
      </c>
      <c r="E150" s="307">
        <f t="shared" ca="1" si="67"/>
        <v>58.968893394625525</v>
      </c>
      <c r="F150" s="304">
        <f t="shared" ca="1" si="68"/>
        <v>60.854816998558583</v>
      </c>
      <c r="G150" s="306">
        <f t="shared" ca="1" si="69"/>
        <v>19.643754955361853</v>
      </c>
      <c r="H150" s="307">
        <f t="shared" ca="1" si="70"/>
        <v>89.778422862578068</v>
      </c>
      <c r="I150" s="304">
        <f t="shared" ca="1" si="71"/>
        <v>91.902352094155802</v>
      </c>
      <c r="J150" s="306">
        <f t="shared" ca="1" si="72"/>
        <v>13.367660394458476</v>
      </c>
      <c r="K150" s="307">
        <f t="shared" ca="1" si="73"/>
        <v>65.609074506525104</v>
      </c>
      <c r="L150" s="304">
        <f t="shared" ca="1" si="58"/>
        <v>66.957038480090617</v>
      </c>
      <c r="M150" s="306">
        <f t="shared" ca="1" si="74"/>
        <v>1.3553884019646079</v>
      </c>
      <c r="N150" s="304">
        <f t="shared" ca="1" si="75"/>
        <v>77.658035033553162</v>
      </c>
      <c r="P150" s="310">
        <f t="shared" ca="1" si="76"/>
        <v>7</v>
      </c>
      <c r="Q150" s="304">
        <f t="shared" ca="1" si="77"/>
        <v>976.35454545454525</v>
      </c>
      <c r="R150" s="306">
        <f t="shared" ca="1" si="78"/>
        <v>0.48908748987507411</v>
      </c>
      <c r="S150" s="307">
        <f t="shared" ca="1" si="79"/>
        <v>13.539155556578539</v>
      </c>
      <c r="T150" s="304">
        <f t="shared" ca="1" si="59"/>
        <v>132.81911601003549</v>
      </c>
      <c r="U150" s="311">
        <f t="shared" ca="1" si="60"/>
        <v>0</v>
      </c>
      <c r="V150" s="306">
        <f t="shared" ca="1" si="61"/>
        <v>1.216989167538143</v>
      </c>
      <c r="W150" s="304">
        <f t="shared" ca="1" si="62"/>
        <v>23.471460190730117</v>
      </c>
      <c r="Y150" s="314" t="str">
        <f t="shared" ca="1" si="80"/>
        <v/>
      </c>
      <c r="Z150" s="315" t="str">
        <f t="shared" ca="1" si="81"/>
        <v/>
      </c>
      <c r="AA150" s="316" t="str">
        <f t="shared" ca="1" si="82"/>
        <v/>
      </c>
      <c r="AC150" s="310" t="e">
        <f t="shared" ca="1" si="83"/>
        <v>#N/A</v>
      </c>
      <c r="AD150" s="323" t="e">
        <f t="shared" ca="1" si="84"/>
        <v>#N/A</v>
      </c>
      <c r="AE150" s="324">
        <f t="shared" ca="1" si="63"/>
        <v>65.609074506525104</v>
      </c>
      <c r="AG150" s="306">
        <f t="shared" ca="1" si="85"/>
        <v>60.818756458487783</v>
      </c>
      <c r="AH150" s="304">
        <f t="shared" ca="1" si="86"/>
        <v>70.402517997090186</v>
      </c>
    </row>
    <row r="151" spans="1:34" x14ac:dyDescent="0.25">
      <c r="A151" s="347">
        <f t="shared" ca="1" si="64"/>
        <v>0.01</v>
      </c>
      <c r="B151" s="304">
        <f t="shared" ca="1" si="65"/>
        <v>1.4700000000000011</v>
      </c>
      <c r="D151" s="306">
        <f t="shared" ca="1" si="66"/>
        <v>15.028931356785071</v>
      </c>
      <c r="E151" s="307">
        <f t="shared" ca="1" si="67"/>
        <v>58.877160758631746</v>
      </c>
      <c r="F151" s="304">
        <f t="shared" ca="1" si="68"/>
        <v>60.76502971878417</v>
      </c>
      <c r="G151" s="306">
        <f t="shared" ca="1" si="69"/>
        <v>19.794044268929703</v>
      </c>
      <c r="H151" s="307">
        <f t="shared" ca="1" si="70"/>
        <v>90.367194470164392</v>
      </c>
      <c r="I151" s="304">
        <f t="shared" ca="1" si="71"/>
        <v>92.509642875371966</v>
      </c>
      <c r="J151" s="306">
        <f t="shared" ca="1" si="72"/>
        <v>13.564849390579933</v>
      </c>
      <c r="K151" s="307">
        <f t="shared" ca="1" si="73"/>
        <v>66.509802593188823</v>
      </c>
      <c r="L151" s="304">
        <f t="shared" ca="1" si="58"/>
        <v>67.879002496899318</v>
      </c>
      <c r="M151" s="306">
        <f t="shared" ca="1" si="74"/>
        <v>1.3551617393532078</v>
      </c>
      <c r="N151" s="304">
        <f t="shared" ca="1" si="75"/>
        <v>77.645048222546535</v>
      </c>
      <c r="P151" s="310">
        <f t="shared" ca="1" si="76"/>
        <v>7</v>
      </c>
      <c r="Q151" s="304">
        <f t="shared" ca="1" si="77"/>
        <v>975.09480519480508</v>
      </c>
      <c r="R151" s="306">
        <f t="shared" ca="1" si="78"/>
        <v>0.4884564453386408</v>
      </c>
      <c r="S151" s="307">
        <f t="shared" ca="1" si="79"/>
        <v>13.534270992125153</v>
      </c>
      <c r="T151" s="304">
        <f t="shared" ca="1" si="59"/>
        <v>132.77119843274775</v>
      </c>
      <c r="U151" s="311">
        <f t="shared" ca="1" si="60"/>
        <v>0</v>
      </c>
      <c r="V151" s="306">
        <f t="shared" ca="1" si="61"/>
        <v>1.2168795536465316</v>
      </c>
      <c r="W151" s="304">
        <f t="shared" ca="1" si="62"/>
        <v>23.780541825305885</v>
      </c>
      <c r="Y151" s="314" t="str">
        <f t="shared" ca="1" si="80"/>
        <v/>
      </c>
      <c r="Z151" s="315" t="str">
        <f t="shared" ca="1" si="81"/>
        <v/>
      </c>
      <c r="AA151" s="316" t="str">
        <f t="shared" ca="1" si="82"/>
        <v/>
      </c>
      <c r="AC151" s="310" t="e">
        <f t="shared" ca="1" si="83"/>
        <v>#N/A</v>
      </c>
      <c r="AD151" s="323" t="e">
        <f t="shared" ca="1" si="84"/>
        <v>#N/A</v>
      </c>
      <c r="AE151" s="324">
        <f t="shared" ca="1" si="63"/>
        <v>66.509802593188823</v>
      </c>
      <c r="AG151" s="306">
        <f t="shared" ca="1" si="85"/>
        <v>60.728840483126007</v>
      </c>
      <c r="AH151" s="304">
        <f t="shared" ca="1" si="86"/>
        <v>70.312124351416657</v>
      </c>
    </row>
    <row r="152" spans="1:34" x14ac:dyDescent="0.25">
      <c r="A152" s="347">
        <f t="shared" ca="1" si="64"/>
        <v>0.01</v>
      </c>
      <c r="B152" s="304">
        <f t="shared" ca="1" si="65"/>
        <v>1.4800000000000011</v>
      </c>
      <c r="D152" s="306">
        <f t="shared" ca="1" si="66"/>
        <v>15.025113413463428</v>
      </c>
      <c r="E152" s="307">
        <f t="shared" ca="1" si="67"/>
        <v>58.785246495533016</v>
      </c>
      <c r="F152" s="304">
        <f t="shared" ca="1" si="68"/>
        <v>60.675029778550709</v>
      </c>
      <c r="G152" s="306">
        <f t="shared" ca="1" si="69"/>
        <v>19.944295403064338</v>
      </c>
      <c r="H152" s="307">
        <f t="shared" ca="1" si="70"/>
        <v>90.955046935119725</v>
      </c>
      <c r="I152" s="304">
        <f t="shared" ca="1" si="71"/>
        <v>93.116032357991529</v>
      </c>
      <c r="J152" s="306">
        <f t="shared" ca="1" si="72"/>
        <v>13.763541088939904</v>
      </c>
      <c r="K152" s="307">
        <f t="shared" ca="1" si="73"/>
        <v>67.416413800215238</v>
      </c>
      <c r="L152" s="304">
        <f t="shared" ca="1" si="58"/>
        <v>68.807033891810718</v>
      </c>
      <c r="M152" s="306">
        <f t="shared" ca="1" si="74"/>
        <v>1.3549363195422133</v>
      </c>
      <c r="N152" s="304">
        <f t="shared" ca="1" si="75"/>
        <v>77.632132618757907</v>
      </c>
      <c r="P152" s="310">
        <f t="shared" ca="1" si="76"/>
        <v>7</v>
      </c>
      <c r="Q152" s="304">
        <f t="shared" ca="1" si="77"/>
        <v>973.83506493506479</v>
      </c>
      <c r="R152" s="306">
        <f t="shared" ca="1" si="78"/>
        <v>0.48782540080220749</v>
      </c>
      <c r="S152" s="307">
        <f t="shared" ca="1" si="79"/>
        <v>13.529392738117132</v>
      </c>
      <c r="T152" s="304">
        <f t="shared" ca="1" si="59"/>
        <v>132.72334276092906</v>
      </c>
      <c r="U152" s="311">
        <f t="shared" ca="1" si="60"/>
        <v>0</v>
      </c>
      <c r="V152" s="306">
        <f t="shared" ca="1" si="61"/>
        <v>1.2167692337466551</v>
      </c>
      <c r="W152" s="304">
        <f t="shared" ca="1" si="62"/>
        <v>24.091136469053993</v>
      </c>
      <c r="Y152" s="314" t="str">
        <f t="shared" ca="1" si="80"/>
        <v/>
      </c>
      <c r="Z152" s="315" t="str">
        <f t="shared" ca="1" si="81"/>
        <v/>
      </c>
      <c r="AA152" s="316" t="str">
        <f t="shared" ca="1" si="82"/>
        <v/>
      </c>
      <c r="AC152" s="310" t="e">
        <f t="shared" ca="1" si="83"/>
        <v>#N/A</v>
      </c>
      <c r="AD152" s="323" t="e">
        <f t="shared" ca="1" si="84"/>
        <v>#N/A</v>
      </c>
      <c r="AE152" s="324">
        <f t="shared" ca="1" si="63"/>
        <v>67.416413800215238</v>
      </c>
      <c r="AG152" s="306">
        <f t="shared" ca="1" si="85"/>
        <v>60.638711681629232</v>
      </c>
      <c r="AH152" s="304">
        <f t="shared" ca="1" si="86"/>
        <v>70.221520026772225</v>
      </c>
    </row>
    <row r="153" spans="1:34" x14ac:dyDescent="0.25">
      <c r="A153" s="347">
        <f t="shared" ca="1" si="64"/>
        <v>0.01</v>
      </c>
      <c r="B153" s="304">
        <f t="shared" ca="1" si="65"/>
        <v>1.4900000000000011</v>
      </c>
      <c r="D153" s="306">
        <f t="shared" ca="1" si="66"/>
        <v>15.021124470354833</v>
      </c>
      <c r="E153" s="307">
        <f t="shared" ca="1" si="67"/>
        <v>58.693151081962142</v>
      </c>
      <c r="F153" s="304">
        <f t="shared" ca="1" si="68"/>
        <v>60.584817935551534</v>
      </c>
      <c r="G153" s="306">
        <f t="shared" ca="1" si="69"/>
        <v>20.094506647767886</v>
      </c>
      <c r="H153" s="307">
        <f t="shared" ca="1" si="70"/>
        <v>91.54197844593935</v>
      </c>
      <c r="I153" s="304">
        <f t="shared" ca="1" si="71"/>
        <v>93.721518421406358</v>
      </c>
      <c r="J153" s="306">
        <f t="shared" ca="1" si="72"/>
        <v>13.963735099194066</v>
      </c>
      <c r="K153" s="307">
        <f t="shared" ca="1" si="73"/>
        <v>68.328898927120534</v>
      </c>
      <c r="L153" s="304">
        <f t="shared" ca="1" si="58"/>
        <v>69.741123639593866</v>
      </c>
      <c r="M153" s="306">
        <f t="shared" ca="1" si="74"/>
        <v>1.3547121255707344</v>
      </c>
      <c r="N153" s="304">
        <f t="shared" ca="1" si="75"/>
        <v>77.619287250399893</v>
      </c>
      <c r="P153" s="310">
        <f t="shared" ca="1" si="76"/>
        <v>7</v>
      </c>
      <c r="Q153" s="304">
        <f t="shared" ca="1" si="77"/>
        <v>972.57532467532451</v>
      </c>
      <c r="R153" s="306">
        <f t="shared" ca="1" si="78"/>
        <v>0.48719435626577412</v>
      </c>
      <c r="S153" s="307">
        <f t="shared" ca="1" si="79"/>
        <v>13.524520794554475</v>
      </c>
      <c r="T153" s="304">
        <f t="shared" ca="1" si="59"/>
        <v>132.6755489945794</v>
      </c>
      <c r="U153" s="311">
        <f t="shared" ca="1" si="60"/>
        <v>0</v>
      </c>
      <c r="V153" s="306">
        <f t="shared" ca="1" si="61"/>
        <v>1.2166582091506188</v>
      </c>
      <c r="W153" s="304">
        <f t="shared" ca="1" si="62"/>
        <v>24.403232958511232</v>
      </c>
      <c r="Y153" s="314" t="str">
        <f t="shared" ca="1" si="80"/>
        <v/>
      </c>
      <c r="Z153" s="315" t="str">
        <f t="shared" ca="1" si="81"/>
        <v/>
      </c>
      <c r="AA153" s="316" t="str">
        <f t="shared" ca="1" si="82"/>
        <v/>
      </c>
      <c r="AC153" s="310" t="e">
        <f t="shared" ca="1" si="83"/>
        <v>#N/A</v>
      </c>
      <c r="AD153" s="323" t="e">
        <f t="shared" ca="1" si="84"/>
        <v>#N/A</v>
      </c>
      <c r="AE153" s="324">
        <f t="shared" ca="1" si="63"/>
        <v>68.328898927120534</v>
      </c>
      <c r="AG153" s="306">
        <f t="shared" ca="1" si="85"/>
        <v>60.548370805546043</v>
      </c>
      <c r="AH153" s="304">
        <f t="shared" ca="1" si="86"/>
        <v>70.130705746570271</v>
      </c>
    </row>
    <row r="154" spans="1:34" x14ac:dyDescent="0.25">
      <c r="A154" s="347">
        <f t="shared" ca="1" si="64"/>
        <v>0.01</v>
      </c>
      <c r="B154" s="304">
        <f t="shared" ca="1" si="65"/>
        <v>1.5000000000000011</v>
      </c>
      <c r="D154" s="306">
        <f t="shared" ca="1" si="66"/>
        <v>15.016966050262305</v>
      </c>
      <c r="E154" s="307">
        <f t="shared" ca="1" si="67"/>
        <v>58.600875001462953</v>
      </c>
      <c r="F154" s="304">
        <f t="shared" ca="1" si="68"/>
        <v>60.49439494938202</v>
      </c>
      <c r="G154" s="306">
        <f t="shared" ca="1" si="69"/>
        <v>20.24467630827051</v>
      </c>
      <c r="H154" s="307">
        <f t="shared" ca="1" si="70"/>
        <v>92.127987195953978</v>
      </c>
      <c r="I154" s="304">
        <f t="shared" ca="1" si="71"/>
        <v>94.326098952540747</v>
      </c>
      <c r="J154" s="306">
        <f t="shared" ca="1" si="72"/>
        <v>14.165431013974258</v>
      </c>
      <c r="K154" s="307">
        <f t="shared" ca="1" si="73"/>
        <v>69.247248755330006</v>
      </c>
      <c r="L154" s="304">
        <f t="shared" ca="1" si="58"/>
        <v>70.681262693830078</v>
      </c>
      <c r="M154" s="306">
        <f t="shared" ca="1" si="74"/>
        <v>1.3544891408173223</v>
      </c>
      <c r="N154" s="304">
        <f t="shared" ca="1" si="75"/>
        <v>77.606511165133611</v>
      </c>
      <c r="P154" s="310">
        <f t="shared" ca="1" si="76"/>
        <v>7</v>
      </c>
      <c r="Q154" s="304">
        <f t="shared" ca="1" si="77"/>
        <v>971.31558441558423</v>
      </c>
      <c r="R154" s="306">
        <f t="shared" ca="1" si="78"/>
        <v>0.48656331172934081</v>
      </c>
      <c r="S154" s="307">
        <f t="shared" ca="1" si="79"/>
        <v>13.51965516143718</v>
      </c>
      <c r="T154" s="304">
        <f t="shared" ca="1" si="59"/>
        <v>132.62781713369876</v>
      </c>
      <c r="U154" s="311">
        <f t="shared" ca="1" si="60"/>
        <v>0</v>
      </c>
      <c r="V154" s="306">
        <f t="shared" ca="1" si="61"/>
        <v>1.2165464811735238</v>
      </c>
      <c r="W154" s="304">
        <f t="shared" ca="1" si="62"/>
        <v>24.716820118873589</v>
      </c>
      <c r="Y154" s="314" t="str">
        <f t="shared" ca="1" si="80"/>
        <v/>
      </c>
      <c r="Z154" s="315" t="str">
        <f t="shared" ca="1" si="81"/>
        <v/>
      </c>
      <c r="AA154" s="316" t="str">
        <f t="shared" ca="1" si="82"/>
        <v/>
      </c>
      <c r="AC154" s="310" t="e">
        <f t="shared" ca="1" si="83"/>
        <v>#N/A</v>
      </c>
      <c r="AD154" s="323" t="e">
        <f t="shared" ca="1" si="84"/>
        <v>#N/A</v>
      </c>
      <c r="AE154" s="324">
        <f t="shared" ca="1" si="63"/>
        <v>69.247248755330006</v>
      </c>
      <c r="AG154" s="306">
        <f t="shared" ca="1" si="85"/>
        <v>60.457818608380833</v>
      </c>
      <c r="AH154" s="304">
        <f t="shared" ca="1" si="86"/>
        <v>70.039682236718633</v>
      </c>
    </row>
    <row r="155" spans="1:34" x14ac:dyDescent="0.25">
      <c r="A155" s="347">
        <f t="shared" ca="1" si="64"/>
        <v>0.01</v>
      </c>
      <c r="B155" s="304">
        <f t="shared" ca="1" si="65"/>
        <v>1.5100000000000011</v>
      </c>
      <c r="D155" s="306">
        <f t="shared" ca="1" si="66"/>
        <v>15.012639649126829</v>
      </c>
      <c r="E155" s="307">
        <f t="shared" ca="1" si="67"/>
        <v>58.508418744349044</v>
      </c>
      <c r="F155" s="304">
        <f t="shared" ca="1" si="68"/>
        <v>60.403761581532564</v>
      </c>
      <c r="G155" s="306">
        <f t="shared" ca="1" si="69"/>
        <v>20.394802704761776</v>
      </c>
      <c r="H155" s="307">
        <f t="shared" ca="1" si="70"/>
        <v>92.713071383397462</v>
      </c>
      <c r="I155" s="304">
        <f t="shared" ca="1" si="71"/>
        <v>94.929771845870945</v>
      </c>
      <c r="J155" s="306">
        <f t="shared" ca="1" si="72"/>
        <v>14.36862840903942</v>
      </c>
      <c r="K155" s="307">
        <f t="shared" ca="1" si="73"/>
        <v>70.171454048226764</v>
      </c>
      <c r="L155" s="304">
        <f t="shared" ca="1" si="58"/>
        <v>71.627441986988856</v>
      </c>
      <c r="M155" s="306">
        <f t="shared" ca="1" si="74"/>
        <v>1.3542673489908379</v>
      </c>
      <c r="N155" s="304">
        <f t="shared" ca="1" si="75"/>
        <v>77.593803429545559</v>
      </c>
      <c r="P155" s="310">
        <f t="shared" ca="1" si="76"/>
        <v>7</v>
      </c>
      <c r="Q155" s="304">
        <f t="shared" ca="1" si="77"/>
        <v>970.05584415584394</v>
      </c>
      <c r="R155" s="306">
        <f t="shared" ca="1" si="78"/>
        <v>0.48593226719290744</v>
      </c>
      <c r="S155" s="307">
        <f t="shared" ca="1" si="79"/>
        <v>13.51479583876525</v>
      </c>
      <c r="T155" s="304">
        <f t="shared" ca="1" si="59"/>
        <v>132.58014717828712</v>
      </c>
      <c r="U155" s="311">
        <f t="shared" ca="1" si="60"/>
        <v>0</v>
      </c>
      <c r="V155" s="306">
        <f t="shared" ca="1" si="61"/>
        <v>1.2164340511334555</v>
      </c>
      <c r="W155" s="304">
        <f t="shared" ca="1" si="62"/>
        <v>25.03188676432411</v>
      </c>
      <c r="Y155" s="314" t="str">
        <f t="shared" ca="1" si="80"/>
        <v/>
      </c>
      <c r="Z155" s="315" t="str">
        <f t="shared" ca="1" si="81"/>
        <v/>
      </c>
      <c r="AA155" s="316" t="str">
        <f t="shared" ca="1" si="82"/>
        <v/>
      </c>
      <c r="AC155" s="310" t="e">
        <f t="shared" ca="1" si="83"/>
        <v>#N/A</v>
      </c>
      <c r="AD155" s="323" t="e">
        <f t="shared" ca="1" si="84"/>
        <v>#N/A</v>
      </c>
      <c r="AE155" s="324">
        <f t="shared" ca="1" si="63"/>
        <v>70.171454048226764</v>
      </c>
      <c r="AG155" s="306">
        <f t="shared" ca="1" si="85"/>
        <v>60.367055845584773</v>
      </c>
      <c r="AH155" s="304">
        <f t="shared" ca="1" si="86"/>
        <v>69.948450225596545</v>
      </c>
    </row>
    <row r="156" spans="1:34" x14ac:dyDescent="0.25">
      <c r="A156" s="347">
        <f t="shared" ca="1" si="64"/>
        <v>0.01</v>
      </c>
      <c r="B156" s="304">
        <f t="shared" ca="1" si="65"/>
        <v>1.5200000000000011</v>
      </c>
      <c r="D156" s="306">
        <f t="shared" ca="1" si="66"/>
        <v>15.008146736765509</v>
      </c>
      <c r="E156" s="307">
        <f t="shared" ca="1" si="67"/>
        <v>58.415782807566387</v>
      </c>
      <c r="F156" s="304">
        <f t="shared" ca="1" si="68"/>
        <v>60.312918595380985</v>
      </c>
      <c r="G156" s="306">
        <f t="shared" ca="1" si="69"/>
        <v>20.544884172129432</v>
      </c>
      <c r="H156" s="307">
        <f t="shared" ca="1" si="70"/>
        <v>93.297229211473123</v>
      </c>
      <c r="I156" s="304">
        <f t="shared" ca="1" si="71"/>
        <v>95.532535003444607</v>
      </c>
      <c r="J156" s="306">
        <f t="shared" ca="1" si="72"/>
        <v>14.573326843423876</v>
      </c>
      <c r="K156" s="307">
        <f t="shared" ca="1" si="73"/>
        <v>71.101505551201114</v>
      </c>
      <c r="L156" s="304">
        <f t="shared" ca="1" si="58"/>
        <v>72.579652430503842</v>
      </c>
      <c r="M156" s="306">
        <f t="shared" ca="1" si="74"/>
        <v>1.3540467341216249</v>
      </c>
      <c r="N156" s="304">
        <f t="shared" ca="1" si="75"/>
        <v>77.581163128641819</v>
      </c>
      <c r="P156" s="310">
        <f t="shared" ca="1" si="76"/>
        <v>7</v>
      </c>
      <c r="Q156" s="304">
        <f t="shared" ca="1" si="77"/>
        <v>968.79610389610366</v>
      </c>
      <c r="R156" s="306">
        <f t="shared" ca="1" si="78"/>
        <v>0.48530122265647413</v>
      </c>
      <c r="S156" s="307">
        <f t="shared" ca="1" si="79"/>
        <v>13.509942826538685</v>
      </c>
      <c r="T156" s="304">
        <f t="shared" ca="1" si="59"/>
        <v>132.5325391283445</v>
      </c>
      <c r="U156" s="311">
        <f t="shared" ca="1" si="60"/>
        <v>0</v>
      </c>
      <c r="V156" s="306">
        <f t="shared" ca="1" si="61"/>
        <v>1.2163209203514684</v>
      </c>
      <c r="W156" s="304">
        <f t="shared" ca="1" si="62"/>
        <v>25.348421698360621</v>
      </c>
      <c r="Y156" s="314" t="str">
        <f t="shared" ca="1" si="80"/>
        <v/>
      </c>
      <c r="Z156" s="315" t="str">
        <f t="shared" ca="1" si="81"/>
        <v/>
      </c>
      <c r="AA156" s="316" t="str">
        <f t="shared" ca="1" si="82"/>
        <v/>
      </c>
      <c r="AC156" s="310" t="e">
        <f t="shared" ca="1" si="83"/>
        <v>#N/A</v>
      </c>
      <c r="AD156" s="323" t="e">
        <f t="shared" ca="1" si="84"/>
        <v>#N/A</v>
      </c>
      <c r="AE156" s="324">
        <f t="shared" ca="1" si="63"/>
        <v>71.101505551201114</v>
      </c>
      <c r="AG156" s="306">
        <f t="shared" ca="1" si="85"/>
        <v>60.276083274546238</v>
      </c>
      <c r="AH156" s="304">
        <f t="shared" ca="1" si="86"/>
        <v>69.85701044403136</v>
      </c>
    </row>
    <row r="157" spans="1:34" x14ac:dyDescent="0.25">
      <c r="A157" s="347">
        <f t="shared" ca="1" si="64"/>
        <v>0.01</v>
      </c>
      <c r="B157" s="304">
        <f t="shared" ca="1" si="65"/>
        <v>1.5300000000000011</v>
      </c>
      <c r="D157" s="306">
        <f t="shared" ca="1" si="66"/>
        <v>15.00348875758497</v>
      </c>
      <c r="E157" s="307">
        <f t="shared" ca="1" si="67"/>
        <v>58.322967694559679</v>
      </c>
      <c r="F157" s="304">
        <f t="shared" ca="1" si="68"/>
        <v>60.221866756184426</v>
      </c>
      <c r="G157" s="306">
        <f t="shared" ca="1" si="69"/>
        <v>20.694919059705281</v>
      </c>
      <c r="H157" s="307">
        <f t="shared" ca="1" si="70"/>
        <v>93.880458888418715</v>
      </c>
      <c r="I157" s="304">
        <f t="shared" ca="1" si="71"/>
        <v>96.134386334900114</v>
      </c>
      <c r="J157" s="306">
        <f t="shared" ca="1" si="72"/>
        <v>14.77952585958305</v>
      </c>
      <c r="K157" s="307">
        <f t="shared" ca="1" si="73"/>
        <v>72.037393991700569</v>
      </c>
      <c r="L157" s="304">
        <f t="shared" ca="1" si="58"/>
        <v>73.537884914849045</v>
      </c>
      <c r="M157" s="306">
        <f t="shared" ca="1" si="74"/>
        <v>1.3538272805529805</v>
      </c>
      <c r="N157" s="304">
        <f t="shared" ca="1" si="75"/>
        <v>77.568589365359415</v>
      </c>
      <c r="P157" s="310">
        <f t="shared" ca="1" si="76"/>
        <v>7</v>
      </c>
      <c r="Q157" s="304">
        <f t="shared" ca="1" si="77"/>
        <v>967.53636363636349</v>
      </c>
      <c r="R157" s="306">
        <f t="shared" ca="1" si="78"/>
        <v>0.48467017812004082</v>
      </c>
      <c r="S157" s="307">
        <f t="shared" ca="1" si="79"/>
        <v>13.505096124757484</v>
      </c>
      <c r="T157" s="304">
        <f t="shared" ca="1" si="59"/>
        <v>132.48499298387094</v>
      </c>
      <c r="U157" s="311">
        <f t="shared" ca="1" si="60"/>
        <v>0</v>
      </c>
      <c r="V157" s="306">
        <f t="shared" ca="1" si="61"/>
        <v>1.2162070901515709</v>
      </c>
      <c r="W157" s="304">
        <f t="shared" ca="1" si="62"/>
        <v>25.666413714123088</v>
      </c>
      <c r="Y157" s="314" t="str">
        <f t="shared" ca="1" si="80"/>
        <v/>
      </c>
      <c r="Z157" s="315" t="str">
        <f t="shared" ca="1" si="81"/>
        <v/>
      </c>
      <c r="AA157" s="316" t="str">
        <f t="shared" ca="1" si="82"/>
        <v/>
      </c>
      <c r="AC157" s="310" t="e">
        <f t="shared" ca="1" si="83"/>
        <v>#N/A</v>
      </c>
      <c r="AD157" s="323" t="e">
        <f t="shared" ca="1" si="84"/>
        <v>#N/A</v>
      </c>
      <c r="AE157" s="324">
        <f t="shared" ca="1" si="63"/>
        <v>72.037393991700569</v>
      </c>
      <c r="AG157" s="306">
        <f t="shared" ca="1" si="85"/>
        <v>60.184901654580742</v>
      </c>
      <c r="AH157" s="304">
        <f t="shared" ca="1" si="86"/>
        <v>69.765363625275342</v>
      </c>
    </row>
    <row r="158" spans="1:34" x14ac:dyDescent="0.25">
      <c r="A158" s="347">
        <f t="shared" ca="1" si="64"/>
        <v>0.01</v>
      </c>
      <c r="B158" s="304">
        <f t="shared" ca="1" si="65"/>
        <v>1.5400000000000011</v>
      </c>
      <c r="D158" s="306">
        <f t="shared" ca="1" si="66"/>
        <v>14.998667131270583</v>
      </c>
      <c r="E158" s="307">
        <f t="shared" ca="1" si="67"/>
        <v>58.229973915142097</v>
      </c>
      <c r="F158" s="304">
        <f t="shared" ca="1" si="68"/>
        <v>60.13060683107053</v>
      </c>
      <c r="G158" s="306">
        <f t="shared" ca="1" si="69"/>
        <v>20.844905731017988</v>
      </c>
      <c r="H158" s="307">
        <f t="shared" ca="1" si="70"/>
        <v>94.462758627570139</v>
      </c>
      <c r="I158" s="304">
        <f t="shared" ca="1" si="71"/>
        <v>96.73532375748583</v>
      </c>
      <c r="J158" s="306">
        <f t="shared" ca="1" si="72"/>
        <v>14.987224983536667</v>
      </c>
      <c r="K158" s="307">
        <f t="shared" ca="1" si="73"/>
        <v>72.979110079280517</v>
      </c>
      <c r="L158" s="304">
        <f t="shared" ca="1" si="58"/>
        <v>74.502130309615225</v>
      </c>
      <c r="M158" s="306">
        <f t="shared" ca="1" si="74"/>
        <v>1.3536089729329073</v>
      </c>
      <c r="N158" s="304">
        <f t="shared" ca="1" si="75"/>
        <v>77.556081260093677</v>
      </c>
      <c r="P158" s="310">
        <f t="shared" ca="1" si="76"/>
        <v>7</v>
      </c>
      <c r="Q158" s="304">
        <f t="shared" ca="1" si="77"/>
        <v>966.27662337662321</v>
      </c>
      <c r="R158" s="306">
        <f t="shared" ca="1" si="78"/>
        <v>0.48403913358360751</v>
      </c>
      <c r="S158" s="307">
        <f t="shared" ca="1" si="79"/>
        <v>13.500255733421648</v>
      </c>
      <c r="T158" s="304">
        <f t="shared" ca="1" si="59"/>
        <v>132.43750874486636</v>
      </c>
      <c r="U158" s="311">
        <f t="shared" ca="1" si="60"/>
        <v>0</v>
      </c>
      <c r="V158" s="306">
        <f t="shared" ca="1" si="61"/>
        <v>1.216092561860713</v>
      </c>
      <c r="W158" s="304">
        <f t="shared" ca="1" si="62"/>
        <v>25.985851594720966</v>
      </c>
      <c r="Y158" s="314" t="str">
        <f t="shared" ca="1" si="80"/>
        <v/>
      </c>
      <c r="Z158" s="315" t="str">
        <f t="shared" ca="1" si="81"/>
        <v/>
      </c>
      <c r="AA158" s="316" t="str">
        <f t="shared" ca="1" si="82"/>
        <v/>
      </c>
      <c r="AC158" s="310" t="e">
        <f t="shared" ca="1" si="83"/>
        <v>#N/A</v>
      </c>
      <c r="AD158" s="323" t="e">
        <f t="shared" ca="1" si="84"/>
        <v>#N/A</v>
      </c>
      <c r="AE158" s="324">
        <f t="shared" ca="1" si="63"/>
        <v>72.979110079280517</v>
      </c>
      <c r="AG158" s="306">
        <f t="shared" ca="1" si="85"/>
        <v>60.093511746920342</v>
      </c>
      <c r="AH158" s="304">
        <f t="shared" ca="1" si="86"/>
        <v>69.673510504982261</v>
      </c>
    </row>
    <row r="159" spans="1:34" x14ac:dyDescent="0.25">
      <c r="A159" s="347">
        <f t="shared" ca="1" si="64"/>
        <v>0.01</v>
      </c>
      <c r="B159" s="304">
        <f t="shared" ca="1" si="65"/>
        <v>1.5500000000000012</v>
      </c>
      <c r="D159" s="306">
        <f t="shared" ca="1" si="66"/>
        <v>14.993683253452806</v>
      </c>
      <c r="E159" s="307">
        <f t="shared" ca="1" si="67"/>
        <v>58.136801985368564</v>
      </c>
      <c r="F159" s="304">
        <f t="shared" ca="1" si="68"/>
        <v>60.039139589028302</v>
      </c>
      <c r="G159" s="306">
        <f t="shared" ca="1" si="69"/>
        <v>20.994842563552517</v>
      </c>
      <c r="H159" s="307">
        <f t="shared" ca="1" si="70"/>
        <v>95.044126647423823</v>
      </c>
      <c r="I159" s="304">
        <f t="shared" ca="1" si="71"/>
        <v>97.335345196079189</v>
      </c>
      <c r="J159" s="306">
        <f t="shared" ca="1" si="72"/>
        <v>15.196423725009518</v>
      </c>
      <c r="K159" s="307">
        <f t="shared" ca="1" si="73"/>
        <v>73.926644505655489</v>
      </c>
      <c r="L159" s="304">
        <f t="shared" ca="1" si="58"/>
        <v>75.47237946358652</v>
      </c>
      <c r="M159" s="306">
        <f t="shared" ca="1" si="74"/>
        <v>1.3533917962061357</v>
      </c>
      <c r="N159" s="304">
        <f t="shared" ca="1" si="75"/>
        <v>77.543637950241191</v>
      </c>
      <c r="P159" s="310">
        <f t="shared" ca="1" si="76"/>
        <v>7</v>
      </c>
      <c r="Q159" s="304">
        <f t="shared" ca="1" si="77"/>
        <v>965.01688311688292</v>
      </c>
      <c r="R159" s="306">
        <f t="shared" ca="1" si="78"/>
        <v>0.48340808904717414</v>
      </c>
      <c r="S159" s="307">
        <f t="shared" ca="1" si="79"/>
        <v>13.495421652531176</v>
      </c>
      <c r="T159" s="304">
        <f t="shared" ca="1" si="59"/>
        <v>132.39008641133086</v>
      </c>
      <c r="U159" s="311">
        <f t="shared" ca="1" si="60"/>
        <v>0</v>
      </c>
      <c r="V159" s="306">
        <f t="shared" ca="1" si="61"/>
        <v>1.2159773368087687</v>
      </c>
      <c r="W159" s="304">
        <f t="shared" ca="1" si="62"/>
        <v>26.306724113560033</v>
      </c>
      <c r="Y159" s="314" t="str">
        <f t="shared" ca="1" si="80"/>
        <v/>
      </c>
      <c r="Z159" s="315" t="str">
        <f t="shared" ca="1" si="81"/>
        <v/>
      </c>
      <c r="AA159" s="316" t="str">
        <f t="shared" ca="1" si="82"/>
        <v/>
      </c>
      <c r="AC159" s="310" t="e">
        <f t="shared" ca="1" si="83"/>
        <v>#N/A</v>
      </c>
      <c r="AD159" s="323" t="e">
        <f t="shared" ca="1" si="84"/>
        <v>#N/A</v>
      </c>
      <c r="AE159" s="324">
        <f t="shared" ca="1" si="63"/>
        <v>73.926644505655489</v>
      </c>
      <c r="AG159" s="306">
        <f t="shared" ca="1" si="85"/>
        <v>60.001914314702582</v>
      </c>
      <c r="AH159" s="304">
        <f t="shared" ca="1" si="86"/>
        <v>69.581451821184046</v>
      </c>
    </row>
    <row r="160" spans="1:34" x14ac:dyDescent="0.25">
      <c r="A160" s="347">
        <f t="shared" ca="1" si="64"/>
        <v>0.01</v>
      </c>
      <c r="B160" s="304">
        <f t="shared" ca="1" si="65"/>
        <v>1.5600000000000012</v>
      </c>
      <c r="D160" s="306">
        <f t="shared" ca="1" si="66"/>
        <v>14.988538496351522</v>
      </c>
      <c r="E160" s="307">
        <f t="shared" ca="1" si="67"/>
        <v>58.043452427412319</v>
      </c>
      <c r="F160" s="304">
        <f t="shared" ca="1" si="68"/>
        <v>59.947465800898442</v>
      </c>
      <c r="G160" s="306">
        <f t="shared" ca="1" si="69"/>
        <v>21.144727948516032</v>
      </c>
      <c r="H160" s="307">
        <f t="shared" ca="1" si="70"/>
        <v>95.624561171697948</v>
      </c>
      <c r="I160" s="304">
        <f t="shared" ca="1" si="71"/>
        <v>97.934448583205679</v>
      </c>
      <c r="J160" s="306">
        <f t="shared" ca="1" si="72"/>
        <v>15.40712157756986</v>
      </c>
      <c r="K160" s="307">
        <f t="shared" ca="1" si="73"/>
        <v>74.879987944751093</v>
      </c>
      <c r="L160" s="304">
        <f t="shared" ca="1" si="58"/>
        <v>76.448623204817025</v>
      </c>
      <c r="M160" s="306">
        <f t="shared" ca="1" si="74"/>
        <v>1.3531757356064105</v>
      </c>
      <c r="N160" s="304">
        <f t="shared" ca="1" si="75"/>
        <v>77.531258589757869</v>
      </c>
      <c r="P160" s="310">
        <f t="shared" ca="1" si="76"/>
        <v>7</v>
      </c>
      <c r="Q160" s="304">
        <f t="shared" ca="1" si="77"/>
        <v>963.75714285714264</v>
      </c>
      <c r="R160" s="306">
        <f t="shared" ca="1" si="78"/>
        <v>0.48277704451074083</v>
      </c>
      <c r="S160" s="307">
        <f t="shared" ca="1" si="79"/>
        <v>13.490593882086069</v>
      </c>
      <c r="T160" s="304">
        <f t="shared" ca="1" si="59"/>
        <v>132.34272598326433</v>
      </c>
      <c r="U160" s="311">
        <f t="shared" ca="1" si="60"/>
        <v>0</v>
      </c>
      <c r="V160" s="306">
        <f t="shared" ca="1" si="61"/>
        <v>1.2158614163285257</v>
      </c>
      <c r="W160" s="304">
        <f t="shared" ca="1" si="62"/>
        <v>26.629020034669168</v>
      </c>
      <c r="Y160" s="314" t="str">
        <f t="shared" ca="1" si="80"/>
        <v/>
      </c>
      <c r="Z160" s="315" t="str">
        <f t="shared" ca="1" si="81"/>
        <v/>
      </c>
      <c r="AA160" s="316" t="str">
        <f t="shared" ca="1" si="82"/>
        <v/>
      </c>
      <c r="AC160" s="310" t="e">
        <f t="shared" ca="1" si="83"/>
        <v>#N/A</v>
      </c>
      <c r="AD160" s="323" t="e">
        <f t="shared" ca="1" si="84"/>
        <v>#N/A</v>
      </c>
      <c r="AE160" s="324">
        <f t="shared" ca="1" si="63"/>
        <v>74.879987944751093</v>
      </c>
      <c r="AG160" s="306">
        <f t="shared" ca="1" si="85"/>
        <v>59.910110122959104</v>
      </c>
      <c r="AH160" s="304">
        <f t="shared" ca="1" si="86"/>
        <v>69.489188314267409</v>
      </c>
    </row>
    <row r="161" spans="1:34" x14ac:dyDescent="0.25">
      <c r="A161" s="347">
        <f t="shared" ca="1" si="64"/>
        <v>0.01</v>
      </c>
      <c r="B161" s="304">
        <f t="shared" ca="1" si="65"/>
        <v>1.5700000000000012</v>
      </c>
      <c r="D161" s="306">
        <f t="shared" ca="1" si="66"/>
        <v>14.983234209398939</v>
      </c>
      <c r="E161" s="307">
        <f t="shared" ca="1" si="67"/>
        <v>57.949925769444533</v>
      </c>
      <c r="F161" s="304">
        <f t="shared" ca="1" si="68"/>
        <v>59.855586239363113</v>
      </c>
      <c r="G161" s="306">
        <f t="shared" ca="1" si="69"/>
        <v>21.294560290610022</v>
      </c>
      <c r="H161" s="307">
        <f t="shared" ca="1" si="70"/>
        <v>96.204060429392399</v>
      </c>
      <c r="I161" s="304">
        <f t="shared" ca="1" si="71"/>
        <v>98.532631859057787</v>
      </c>
      <c r="J161" s="306">
        <f t="shared" ca="1" si="72"/>
        <v>15.61931801876549</v>
      </c>
      <c r="K161" s="307">
        <f t="shared" ca="1" si="73"/>
        <v>75.839131052756542</v>
      </c>
      <c r="L161" s="304">
        <f t="shared" ca="1" si="58"/>
        <v>77.430852340707929</v>
      </c>
      <c r="M161" s="306">
        <f t="shared" ca="1" si="74"/>
        <v>1.3529607766490253</v>
      </c>
      <c r="N161" s="304">
        <f t="shared" ca="1" si="75"/>
        <v>77.518942348731173</v>
      </c>
      <c r="P161" s="310">
        <f t="shared" ca="1" si="76"/>
        <v>7</v>
      </c>
      <c r="Q161" s="304">
        <f t="shared" ca="1" si="77"/>
        <v>962.49740259740236</v>
      </c>
      <c r="R161" s="306">
        <f t="shared" ca="1" si="78"/>
        <v>0.48214599997430746</v>
      </c>
      <c r="S161" s="307">
        <f t="shared" ca="1" si="79"/>
        <v>13.485772422086326</v>
      </c>
      <c r="T161" s="304">
        <f t="shared" ca="1" si="59"/>
        <v>132.29542746066687</v>
      </c>
      <c r="U161" s="311">
        <f t="shared" ca="1" si="60"/>
        <v>0</v>
      </c>
      <c r="V161" s="306">
        <f t="shared" ca="1" si="61"/>
        <v>1.2157448017556662</v>
      </c>
      <c r="W161" s="304">
        <f t="shared" ca="1" si="62"/>
        <v>26.952728113026705</v>
      </c>
      <c r="Y161" s="314" t="str">
        <f t="shared" ca="1" si="80"/>
        <v/>
      </c>
      <c r="Z161" s="315" t="str">
        <f t="shared" ca="1" si="81"/>
        <v/>
      </c>
      <c r="AA161" s="316" t="str">
        <f t="shared" ca="1" si="82"/>
        <v/>
      </c>
      <c r="AC161" s="310" t="e">
        <f t="shared" ca="1" si="83"/>
        <v>#N/A</v>
      </c>
      <c r="AD161" s="323" t="e">
        <f t="shared" ca="1" si="84"/>
        <v>#N/A</v>
      </c>
      <c r="AE161" s="324">
        <f t="shared" ca="1" si="63"/>
        <v>75.839131052756542</v>
      </c>
      <c r="AG161" s="306">
        <f t="shared" ca="1" si="85"/>
        <v>59.818099938603702</v>
      </c>
      <c r="AH161" s="304">
        <f t="shared" ca="1" si="86"/>
        <v>69.396720726950321</v>
      </c>
    </row>
    <row r="162" spans="1:34" x14ac:dyDescent="0.25">
      <c r="A162" s="347">
        <f t="shared" ca="1" si="64"/>
        <v>0.01</v>
      </c>
      <c r="B162" s="304">
        <f t="shared" ca="1" si="65"/>
        <v>1.5800000000000012</v>
      </c>
      <c r="D162" s="306">
        <f t="shared" ca="1" si="66"/>
        <v>14.977771719842249</v>
      </c>
      <c r="E162" s="307">
        <f t="shared" ca="1" si="67"/>
        <v>57.85622254551707</v>
      </c>
      <c r="F162" s="304">
        <f t="shared" ca="1" si="68"/>
        <v>59.763501678935313</v>
      </c>
      <c r="G162" s="306">
        <f t="shared" ca="1" si="69"/>
        <v>21.444338007808444</v>
      </c>
      <c r="H162" s="307">
        <f t="shared" ca="1" si="70"/>
        <v>96.782622654847572</v>
      </c>
      <c r="I162" s="304">
        <f t="shared" ca="1" si="71"/>
        <v>99.129892971513655</v>
      </c>
      <c r="J162" s="306">
        <f t="shared" ca="1" si="72"/>
        <v>15.833012510257582</v>
      </c>
      <c r="K162" s="307">
        <f t="shared" ca="1" si="73"/>
        <v>76.804064468177742</v>
      </c>
      <c r="L162" s="304">
        <f t="shared" ca="1" si="58"/>
        <v>78.419057658084469</v>
      </c>
      <c r="M162" s="306">
        <f t="shared" ca="1" si="74"/>
        <v>1.3527469051235981</v>
      </c>
      <c r="N162" s="304">
        <f t="shared" ca="1" si="75"/>
        <v>77.50668841296617</v>
      </c>
      <c r="P162" s="310">
        <f t="shared" ca="1" si="76"/>
        <v>7</v>
      </c>
      <c r="Q162" s="304">
        <f t="shared" ca="1" si="77"/>
        <v>961.23766233766219</v>
      </c>
      <c r="R162" s="306">
        <f t="shared" ca="1" si="78"/>
        <v>0.4815149554378742</v>
      </c>
      <c r="S162" s="307">
        <f t="shared" ca="1" si="79"/>
        <v>13.480957272531947</v>
      </c>
      <c r="T162" s="304">
        <f t="shared" ca="1" si="59"/>
        <v>132.2481908435384</v>
      </c>
      <c r="U162" s="311">
        <f t="shared" ca="1" si="60"/>
        <v>0</v>
      </c>
      <c r="V162" s="306">
        <f t="shared" ca="1" si="61"/>
        <v>1.2156274944287542</v>
      </c>
      <c r="W162" s="304">
        <f t="shared" ca="1" si="62"/>
        <v>27.27783709488655</v>
      </c>
      <c r="Y162" s="314" t="str">
        <f t="shared" ca="1" si="80"/>
        <v/>
      </c>
      <c r="Z162" s="315" t="str">
        <f t="shared" ca="1" si="81"/>
        <v/>
      </c>
      <c r="AA162" s="316" t="str">
        <f t="shared" ca="1" si="82"/>
        <v/>
      </c>
      <c r="AC162" s="310" t="e">
        <f t="shared" ca="1" si="83"/>
        <v>#N/A</v>
      </c>
      <c r="AD162" s="323" t="e">
        <f t="shared" ca="1" si="84"/>
        <v>#N/A</v>
      </c>
      <c r="AE162" s="324">
        <f t="shared" ca="1" si="63"/>
        <v>76.804064468177742</v>
      </c>
      <c r="AG162" s="306">
        <f t="shared" ca="1" si="85"/>
        <v>59.725884530420046</v>
      </c>
      <c r="AH162" s="304">
        <f t="shared" ca="1" si="86"/>
        <v>69.30404980425854</v>
      </c>
    </row>
    <row r="163" spans="1:34" x14ac:dyDescent="0.25">
      <c r="A163" s="347">
        <f t="shared" ca="1" si="64"/>
        <v>0.01</v>
      </c>
      <c r="B163" s="304">
        <f t="shared" ca="1" si="65"/>
        <v>1.5900000000000012</v>
      </c>
      <c r="D163" s="306">
        <f t="shared" ca="1" si="66"/>
        <v>14.97215233332672</v>
      </c>
      <c r="E163" s="307">
        <f t="shared" ca="1" si="67"/>
        <v>57.762343295447963</v>
      </c>
      <c r="F163" s="304">
        <f t="shared" ca="1" si="68"/>
        <v>59.671212895947768</v>
      </c>
      <c r="G163" s="306">
        <f t="shared" ca="1" si="69"/>
        <v>21.59405953114171</v>
      </c>
      <c r="H163" s="307">
        <f t="shared" ca="1" si="70"/>
        <v>97.360246087802054</v>
      </c>
      <c r="I163" s="304">
        <f t="shared" ca="1" si="71"/>
        <v>99.726229876155784</v>
      </c>
      <c r="J163" s="306">
        <f t="shared" ca="1" si="72"/>
        <v>16.048204497952334</v>
      </c>
      <c r="K163" s="307">
        <f t="shared" ca="1" si="73"/>
        <v>77.774778811890997</v>
      </c>
      <c r="L163" s="304">
        <f t="shared" ca="1" si="58"/>
        <v>79.413229923273278</v>
      </c>
      <c r="M163" s="306">
        <f t="shared" ca="1" si="74"/>
        <v>1.3525341070870809</v>
      </c>
      <c r="N163" s="304">
        <f t="shared" ca="1" si="75"/>
        <v>77.494495983585068</v>
      </c>
      <c r="P163" s="310">
        <f t="shared" ca="1" si="76"/>
        <v>7</v>
      </c>
      <c r="Q163" s="304">
        <f t="shared" ca="1" si="77"/>
        <v>959.9779220779219</v>
      </c>
      <c r="R163" s="306">
        <f t="shared" ca="1" si="78"/>
        <v>0.48088391090144084</v>
      </c>
      <c r="S163" s="307">
        <f t="shared" ca="1" si="79"/>
        <v>13.476148433422933</v>
      </c>
      <c r="T163" s="304">
        <f t="shared" ca="1" si="59"/>
        <v>132.20101613187899</v>
      </c>
      <c r="U163" s="311">
        <f t="shared" ca="1" si="60"/>
        <v>0</v>
      </c>
      <c r="V163" s="306">
        <f t="shared" ca="1" si="61"/>
        <v>1.2155094956892227</v>
      </c>
      <c r="W163" s="304">
        <f t="shared" ca="1" si="62"/>
        <v>27.604335718104053</v>
      </c>
      <c r="Y163" s="314" t="str">
        <f t="shared" ca="1" si="80"/>
        <v/>
      </c>
      <c r="Z163" s="315" t="str">
        <f t="shared" ca="1" si="81"/>
        <v/>
      </c>
      <c r="AA163" s="316" t="str">
        <f t="shared" ca="1" si="82"/>
        <v/>
      </c>
      <c r="AC163" s="310" t="e">
        <f t="shared" ca="1" si="83"/>
        <v>#N/A</v>
      </c>
      <c r="AD163" s="323" t="e">
        <f t="shared" ca="1" si="84"/>
        <v>#N/A</v>
      </c>
      <c r="AE163" s="324">
        <f t="shared" ca="1" si="63"/>
        <v>77.774778811890997</v>
      </c>
      <c r="AG163" s="306">
        <f t="shared" ca="1" si="85"/>
        <v>59.633464669048927</v>
      </c>
      <c r="AH163" s="304">
        <f t="shared" ca="1" si="86"/>
        <v>69.211176293501993</v>
      </c>
    </row>
    <row r="164" spans="1:34" x14ac:dyDescent="0.25">
      <c r="A164" s="347">
        <f t="shared" ca="1" si="64"/>
        <v>0.01</v>
      </c>
      <c r="B164" s="304">
        <f t="shared" ca="1" si="65"/>
        <v>1.6000000000000012</v>
      </c>
      <c r="D164" s="306">
        <f t="shared" ca="1" si="66"/>
        <v>14.966377334459773</v>
      </c>
      <c r="E164" s="307">
        <f t="shared" ca="1" si="67"/>
        <v>57.668288564709982</v>
      </c>
      <c r="F164" s="304">
        <f t="shared" ca="1" si="68"/>
        <v>59.578720668541479</v>
      </c>
      <c r="G164" s="306">
        <f t="shared" ca="1" si="69"/>
        <v>21.743723304486309</v>
      </c>
      <c r="H164" s="307">
        <f t="shared" ca="1" si="70"/>
        <v>97.936928973449156</v>
      </c>
      <c r="I164" s="304">
        <f t="shared" ca="1" si="71"/>
        <v>100.32164053628951</v>
      </c>
      <c r="J164" s="306">
        <f t="shared" ca="1" si="72"/>
        <v>16.264893412130473</v>
      </c>
      <c r="K164" s="307">
        <f t="shared" ca="1" si="73"/>
        <v>78.751264687197249</v>
      </c>
      <c r="L164" s="304">
        <f t="shared" ca="1" si="58"/>
        <v>80.413359882179819</v>
      </c>
      <c r="M164" s="306">
        <f t="shared" ca="1" si="74"/>
        <v>1.3523223688569885</v>
      </c>
      <c r="N164" s="304">
        <f t="shared" ca="1" si="75"/>
        <v>77.482364276639203</v>
      </c>
      <c r="P164" s="310">
        <f t="shared" ca="1" si="76"/>
        <v>7</v>
      </c>
      <c r="Q164" s="304">
        <f t="shared" ca="1" si="77"/>
        <v>958.71818181818162</v>
      </c>
      <c r="R164" s="306">
        <f t="shared" ca="1" si="78"/>
        <v>0.48025286636500752</v>
      </c>
      <c r="S164" s="307">
        <f t="shared" ca="1" si="79"/>
        <v>13.471345904759284</v>
      </c>
      <c r="T164" s="304">
        <f t="shared" ca="1" si="59"/>
        <v>132.15390332568859</v>
      </c>
      <c r="U164" s="311">
        <f t="shared" ca="1" si="60"/>
        <v>0</v>
      </c>
      <c r="V164" s="306">
        <f t="shared" ca="1" si="61"/>
        <v>1.2153908068813541</v>
      </c>
      <c r="W164" s="304">
        <f t="shared" ca="1" si="62"/>
        <v>27.932212712461371</v>
      </c>
      <c r="Y164" s="314" t="str">
        <f t="shared" ca="1" si="80"/>
        <v/>
      </c>
      <c r="Z164" s="315" t="str">
        <f t="shared" ca="1" si="81"/>
        <v/>
      </c>
      <c r="AA164" s="316" t="str">
        <f t="shared" ca="1" si="82"/>
        <v/>
      </c>
      <c r="AC164" s="310" t="e">
        <f t="shared" ca="1" si="83"/>
        <v>#N/A</v>
      </c>
      <c r="AD164" s="323" t="e">
        <f t="shared" ca="1" si="84"/>
        <v>#N/A</v>
      </c>
      <c r="AE164" s="324">
        <f t="shared" ca="1" si="63"/>
        <v>78.751264687197249</v>
      </c>
      <c r="AG164" s="306">
        <f t="shared" ca="1" si="85"/>
        <v>59.540841126975202</v>
      </c>
      <c r="AH164" s="304">
        <f t="shared" ca="1" si="86"/>
        <v>69.118100944251225</v>
      </c>
    </row>
    <row r="165" spans="1:34" x14ac:dyDescent="0.25">
      <c r="A165" s="347">
        <f t="shared" ca="1" si="64"/>
        <v>0.01</v>
      </c>
      <c r="B165" s="304">
        <f t="shared" ca="1" si="65"/>
        <v>1.6100000000000012</v>
      </c>
      <c r="D165" s="306">
        <f t="shared" ca="1" si="66"/>
        <v>14.960447987357146</v>
      </c>
      <c r="E165" s="307">
        <f t="shared" ca="1" si="67"/>
        <v>57.574058904321674</v>
      </c>
      <c r="F165" s="304">
        <f t="shared" ca="1" si="68"/>
        <v>59.486025776653804</v>
      </c>
      <c r="G165" s="306">
        <f t="shared" ca="1" si="69"/>
        <v>21.893327784359879</v>
      </c>
      <c r="H165" s="307">
        <f t="shared" ca="1" si="70"/>
        <v>98.512669562492377</v>
      </c>
      <c r="I165" s="304">
        <f t="shared" ca="1" si="71"/>
        <v>100.91612292296131</v>
      </c>
      <c r="J165" s="306">
        <f t="shared" ca="1" si="72"/>
        <v>16.483078667574702</v>
      </c>
      <c r="K165" s="307">
        <f t="shared" ca="1" si="73"/>
        <v>79.733512679876952</v>
      </c>
      <c r="L165" s="304">
        <f t="shared" ca="1" si="58"/>
        <v>81.419438260366022</v>
      </c>
      <c r="M165" s="306">
        <f t="shared" ca="1" si="74"/>
        <v>1.3521116770048447</v>
      </c>
      <c r="N165" s="304">
        <f t="shared" ca="1" si="75"/>
        <v>77.470292522733558</v>
      </c>
      <c r="P165" s="310">
        <f t="shared" ca="1" si="76"/>
        <v>7</v>
      </c>
      <c r="Q165" s="304">
        <f t="shared" ca="1" si="77"/>
        <v>957.45844155844134</v>
      </c>
      <c r="R165" s="306">
        <f t="shared" ca="1" si="78"/>
        <v>0.47962182182857416</v>
      </c>
      <c r="S165" s="307">
        <f t="shared" ca="1" si="79"/>
        <v>13.466549686540999</v>
      </c>
      <c r="T165" s="304">
        <f t="shared" ca="1" si="59"/>
        <v>132.1068524249672</v>
      </c>
      <c r="U165" s="311">
        <f t="shared" ca="1" si="60"/>
        <v>0</v>
      </c>
      <c r="V165" s="306">
        <f t="shared" ca="1" si="61"/>
        <v>1.2152714293522704</v>
      </c>
      <c r="W165" s="304">
        <f t="shared" ca="1" si="62"/>
        <v>28.261456799992686</v>
      </c>
      <c r="Y165" s="314" t="str">
        <f t="shared" ca="1" si="80"/>
        <v/>
      </c>
      <c r="Z165" s="315" t="str">
        <f t="shared" ca="1" si="81"/>
        <v/>
      </c>
      <c r="AA165" s="316" t="str">
        <f t="shared" ca="1" si="82"/>
        <v/>
      </c>
      <c r="AC165" s="310" t="e">
        <f t="shared" ca="1" si="83"/>
        <v>#N/A</v>
      </c>
      <c r="AD165" s="323" t="e">
        <f t="shared" ca="1" si="84"/>
        <v>#N/A</v>
      </c>
      <c r="AE165" s="324">
        <f t="shared" ca="1" si="63"/>
        <v>79.733512679876952</v>
      </c>
      <c r="AG165" s="306">
        <f t="shared" ca="1" si="85"/>
        <v>59.448014678514383</v>
      </c>
      <c r="AH165" s="304">
        <f t="shared" ca="1" si="86"/>
        <v>69.024824508313756</v>
      </c>
    </row>
    <row r="166" spans="1:34" x14ac:dyDescent="0.25">
      <c r="A166" s="347">
        <f t="shared" ca="1" si="64"/>
        <v>0.01</v>
      </c>
      <c r="B166" s="304">
        <f t="shared" ca="1" si="65"/>
        <v>1.6200000000000012</v>
      </c>
      <c r="D166" s="306">
        <f t="shared" ca="1" si="66"/>
        <v>14.954365536171437</v>
      </c>
      <c r="E166" s="307">
        <f t="shared" ca="1" si="67"/>
        <v>57.479654870740987</v>
      </c>
      <c r="F166" s="304">
        <f t="shared" ca="1" si="68"/>
        <v>59.393129002006035</v>
      </c>
      <c r="G166" s="306">
        <f t="shared" ca="1" si="69"/>
        <v>22.042871439721594</v>
      </c>
      <c r="H166" s="307">
        <f t="shared" ca="1" si="70"/>
        <v>99.087466111199788</v>
      </c>
      <c r="I166" s="304">
        <f t="shared" ca="1" si="71"/>
        <v>101.50967501497708</v>
      </c>
      <c r="J166" s="306">
        <f t="shared" ca="1" si="72"/>
        <v>16.702759663695108</v>
      </c>
      <c r="K166" s="307">
        <f t="shared" ca="1" si="73"/>
        <v>80.721513358245417</v>
      </c>
      <c r="L166" s="304">
        <f t="shared" ca="1" si="58"/>
        <v>82.431455763128156</v>
      </c>
      <c r="M166" s="306">
        <f t="shared" ca="1" si="74"/>
        <v>1.3519020183498327</v>
      </c>
      <c r="N166" s="304">
        <f t="shared" ca="1" si="75"/>
        <v>77.458279966662985</v>
      </c>
      <c r="P166" s="310">
        <f t="shared" ca="1" si="76"/>
        <v>7</v>
      </c>
      <c r="Q166" s="304">
        <f t="shared" ca="1" si="77"/>
        <v>956.19870129870105</v>
      </c>
      <c r="R166" s="306">
        <f t="shared" ca="1" si="78"/>
        <v>0.47899077729214079</v>
      </c>
      <c r="S166" s="307">
        <f t="shared" ca="1" si="79"/>
        <v>13.461759778768078</v>
      </c>
      <c r="T166" s="304">
        <f t="shared" ca="1" si="59"/>
        <v>132.05986342971485</v>
      </c>
      <c r="U166" s="311">
        <f t="shared" ca="1" si="60"/>
        <v>0</v>
      </c>
      <c r="V166" s="306">
        <f t="shared" ca="1" si="61"/>
        <v>1.2151513644519125</v>
      </c>
      <c r="W166" s="304">
        <f t="shared" ca="1" si="62"/>
        <v>28.592056695308887</v>
      </c>
      <c r="Y166" s="314" t="str">
        <f t="shared" ca="1" si="80"/>
        <v/>
      </c>
      <c r="Z166" s="315" t="str">
        <f t="shared" ca="1" si="81"/>
        <v/>
      </c>
      <c r="AA166" s="316" t="str">
        <f t="shared" ca="1" si="82"/>
        <v/>
      </c>
      <c r="AC166" s="310" t="e">
        <f t="shared" ca="1" si="83"/>
        <v>#N/A</v>
      </c>
      <c r="AD166" s="323" t="e">
        <f t="shared" ca="1" si="84"/>
        <v>#N/A</v>
      </c>
      <c r="AE166" s="324">
        <f t="shared" ca="1" si="63"/>
        <v>80.721513358245417</v>
      </c>
      <c r="AG166" s="306">
        <f t="shared" ca="1" si="85"/>
        <v>59.354986099798737</v>
      </c>
      <c r="AH166" s="304">
        <f t="shared" ca="1" si="86"/>
        <v>68.931347739710333</v>
      </c>
    </row>
    <row r="167" spans="1:34" x14ac:dyDescent="0.25">
      <c r="A167" s="347">
        <f t="shared" ca="1" si="64"/>
        <v>0.01</v>
      </c>
      <c r="B167" s="304">
        <f t="shared" ca="1" si="65"/>
        <v>1.6300000000000012</v>
      </c>
      <c r="D167" s="306">
        <f t="shared" ca="1" si="66"/>
        <v>14.948131205603996</v>
      </c>
      <c r="E167" s="307">
        <f t="shared" ca="1" si="67"/>
        <v>57.385077025761646</v>
      </c>
      <c r="F167" s="304">
        <f t="shared" ca="1" si="68"/>
        <v>59.300031128090893</v>
      </c>
      <c r="G167" s="306">
        <f t="shared" ca="1" si="69"/>
        <v>22.192352751777634</v>
      </c>
      <c r="H167" s="307">
        <f t="shared" ca="1" si="70"/>
        <v>99.66131688145741</v>
      </c>
      <c r="I167" s="304">
        <f t="shared" ca="1" si="71"/>
        <v>102.10229479892017</v>
      </c>
      <c r="J167" s="306">
        <f t="shared" ca="1" si="72"/>
        <v>16.923935784652603</v>
      </c>
      <c r="K167" s="307">
        <f t="shared" ca="1" si="73"/>
        <v>81.715257273208707</v>
      </c>
      <c r="L167" s="304">
        <f t="shared" ca="1" si="58"/>
        <v>83.449403075574679</v>
      </c>
      <c r="M167" s="306">
        <f t="shared" ca="1" si="74"/>
        <v>1.3516933799526443</v>
      </c>
      <c r="N167" s="304">
        <f t="shared" ca="1" si="75"/>
        <v>77.446325867059713</v>
      </c>
      <c r="P167" s="310">
        <f t="shared" ca="1" si="76"/>
        <v>7</v>
      </c>
      <c r="Q167" s="304">
        <f t="shared" ca="1" si="77"/>
        <v>954.93896103896088</v>
      </c>
      <c r="R167" s="306">
        <f t="shared" ca="1" si="78"/>
        <v>0.47835973275570753</v>
      </c>
      <c r="S167" s="307">
        <f t="shared" ca="1" si="79"/>
        <v>13.45697618144052</v>
      </c>
      <c r="T167" s="304">
        <f t="shared" ca="1" si="59"/>
        <v>132.01293633993151</v>
      </c>
      <c r="U167" s="311">
        <f t="shared" ca="1" si="60"/>
        <v>0</v>
      </c>
      <c r="V167" s="306">
        <f t="shared" ca="1" si="61"/>
        <v>1.2150306135330322</v>
      </c>
      <c r="W167" s="304">
        <f t="shared" ca="1" si="62"/>
        <v>28.92400110592213</v>
      </c>
      <c r="Y167" s="314" t="str">
        <f t="shared" ca="1" si="80"/>
        <v/>
      </c>
      <c r="Z167" s="315" t="str">
        <f t="shared" ca="1" si="81"/>
        <v/>
      </c>
      <c r="AA167" s="316" t="str">
        <f t="shared" ca="1" si="82"/>
        <v/>
      </c>
      <c r="AC167" s="310" t="e">
        <f t="shared" ca="1" si="83"/>
        <v>#N/A</v>
      </c>
      <c r="AD167" s="323" t="e">
        <f t="shared" ca="1" si="84"/>
        <v>#N/A</v>
      </c>
      <c r="AE167" s="324">
        <f t="shared" ca="1" si="63"/>
        <v>81.715257273208707</v>
      </c>
      <c r="AG167" s="306">
        <f t="shared" ca="1" si="85"/>
        <v>59.261756168763213</v>
      </c>
      <c r="AH167" s="304">
        <f t="shared" ca="1" si="86"/>
        <v>68.837671394651295</v>
      </c>
    </row>
    <row r="168" spans="1:34" x14ac:dyDescent="0.25">
      <c r="A168" s="347">
        <f t="shared" ca="1" si="64"/>
        <v>0.01</v>
      </c>
      <c r="B168" s="304">
        <f t="shared" ca="1" si="65"/>
        <v>1.6400000000000012</v>
      </c>
      <c r="D168" s="306">
        <f t="shared" ca="1" si="66"/>
        <v>14.941746201400635</v>
      </c>
      <c r="E168" s="307">
        <f t="shared" ca="1" si="67"/>
        <v>57.29032593641162</v>
      </c>
      <c r="F168" s="304">
        <f t="shared" ca="1" si="68"/>
        <v>59.206732940159334</v>
      </c>
      <c r="G168" s="306">
        <f t="shared" ca="1" si="69"/>
        <v>22.341770213791641</v>
      </c>
      <c r="H168" s="307">
        <f t="shared" ca="1" si="70"/>
        <v>100.23422014082152</v>
      </c>
      <c r="I168" s="304">
        <f t="shared" ca="1" si="71"/>
        <v>102.69398026916932</v>
      </c>
      <c r="J168" s="306">
        <f t="shared" ca="1" si="72"/>
        <v>17.146606399480451</v>
      </c>
      <c r="K168" s="307">
        <f t="shared" ca="1" si="73"/>
        <v>82.714734958320108</v>
      </c>
      <c r="L168" s="304">
        <f t="shared" ca="1" si="58"/>
        <v>84.473270862704538</v>
      </c>
      <c r="M168" s="306">
        <f t="shared" ca="1" si="74"/>
        <v>1.3514857491095207</v>
      </c>
      <c r="N168" s="304">
        <f t="shared" ca="1" si="75"/>
        <v>77.43442949605199</v>
      </c>
      <c r="P168" s="310">
        <f t="shared" ca="1" si="76"/>
        <v>7</v>
      </c>
      <c r="Q168" s="304">
        <f t="shared" ca="1" si="77"/>
        <v>953.6792207792206</v>
      </c>
      <c r="R168" s="306">
        <f t="shared" ca="1" si="78"/>
        <v>0.47772868821927417</v>
      </c>
      <c r="S168" s="307">
        <f t="shared" ca="1" si="79"/>
        <v>13.452198894558327</v>
      </c>
      <c r="T168" s="304">
        <f t="shared" ca="1" si="59"/>
        <v>131.96607115561719</v>
      </c>
      <c r="U168" s="311">
        <f t="shared" ca="1" si="60"/>
        <v>0</v>
      </c>
      <c r="V168" s="306">
        <f t="shared" ca="1" si="61"/>
        <v>1.2149091779511698</v>
      </c>
      <c r="W168" s="304">
        <f t="shared" ca="1" si="62"/>
        <v>29.257278732569649</v>
      </c>
      <c r="Y168" s="314" t="str">
        <f t="shared" ca="1" si="80"/>
        <v/>
      </c>
      <c r="Z168" s="315" t="str">
        <f t="shared" ca="1" si="81"/>
        <v/>
      </c>
      <c r="AA168" s="316" t="str">
        <f t="shared" ca="1" si="82"/>
        <v/>
      </c>
      <c r="AC168" s="310" t="e">
        <f t="shared" ca="1" si="83"/>
        <v>#N/A</v>
      </c>
      <c r="AD168" s="323" t="e">
        <f t="shared" ca="1" si="84"/>
        <v>#N/A</v>
      </c>
      <c r="AE168" s="324">
        <f t="shared" ca="1" si="63"/>
        <v>82.714734958320108</v>
      </c>
      <c r="AG168" s="306">
        <f t="shared" ca="1" si="85"/>
        <v>59.168325665130936</v>
      </c>
      <c r="AH168" s="304">
        <f t="shared" ca="1" si="86"/>
        <v>68.743796231512732</v>
      </c>
    </row>
    <row r="169" spans="1:34" x14ac:dyDescent="0.25">
      <c r="A169" s="347">
        <f t="shared" ca="1" si="64"/>
        <v>0.01</v>
      </c>
      <c r="B169" s="304">
        <f t="shared" ca="1" si="65"/>
        <v>1.6500000000000012</v>
      </c>
      <c r="D169" s="306">
        <f t="shared" ca="1" si="66"/>
        <v>14.935211710831755</v>
      </c>
      <c r="E169" s="307">
        <f t="shared" ca="1" si="67"/>
        <v>57.195402174854095</v>
      </c>
      <c r="F169" s="304">
        <f t="shared" ca="1" si="68"/>
        <v>59.113235225207141</v>
      </c>
      <c r="G169" s="306">
        <f t="shared" ca="1" si="69"/>
        <v>22.491122330899959</v>
      </c>
      <c r="H169" s="307">
        <f t="shared" ca="1" si="70"/>
        <v>100.80617416257006</v>
      </c>
      <c r="I169" s="304">
        <f t="shared" ca="1" si="71"/>
        <v>103.28472942791647</v>
      </c>
      <c r="J169" s="306">
        <f t="shared" ca="1" si="72"/>
        <v>17.370770862203909</v>
      </c>
      <c r="K169" s="307">
        <f t="shared" ca="1" si="73"/>
        <v>83.719936929837061</v>
      </c>
      <c r="L169" s="304">
        <f t="shared" ca="1" si="58"/>
        <v>85.503049769485344</v>
      </c>
      <c r="M169" s="306">
        <f t="shared" ca="1" si="74"/>
        <v>1.3512791133464761</v>
      </c>
      <c r="N169" s="304">
        <f t="shared" ca="1" si="75"/>
        <v>77.422590138933074</v>
      </c>
      <c r="P169" s="310">
        <f t="shared" ca="1" si="76"/>
        <v>7</v>
      </c>
      <c r="Q169" s="304">
        <f t="shared" ca="1" si="77"/>
        <v>952.41948051948032</v>
      </c>
      <c r="R169" s="306">
        <f t="shared" ca="1" si="78"/>
        <v>0.47709764368284086</v>
      </c>
      <c r="S169" s="307">
        <f t="shared" ca="1" si="79"/>
        <v>13.447427918121498</v>
      </c>
      <c r="T169" s="304">
        <f t="shared" ca="1" si="59"/>
        <v>131.9192678767719</v>
      </c>
      <c r="U169" s="311">
        <f t="shared" ca="1" si="60"/>
        <v>0</v>
      </c>
      <c r="V169" s="306">
        <f t="shared" ca="1" si="61"/>
        <v>1.2147870590646439</v>
      </c>
      <c r="W169" s="304">
        <f t="shared" ca="1" si="62"/>
        <v>29.591878269537577</v>
      </c>
      <c r="Y169" s="314" t="str">
        <f t="shared" ca="1" si="80"/>
        <v/>
      </c>
      <c r="Z169" s="315" t="str">
        <f t="shared" ca="1" si="81"/>
        <v/>
      </c>
      <c r="AA169" s="316" t="str">
        <f t="shared" ca="1" si="82"/>
        <v/>
      </c>
      <c r="AC169" s="310" t="e">
        <f t="shared" ca="1" si="83"/>
        <v>#N/A</v>
      </c>
      <c r="AD169" s="323" t="e">
        <f t="shared" ca="1" si="84"/>
        <v>#N/A</v>
      </c>
      <c r="AE169" s="324">
        <f t="shared" ca="1" si="63"/>
        <v>83.719936929837061</v>
      </c>
      <c r="AG169" s="306">
        <f t="shared" ca="1" si="85"/>
        <v>59.074695370398388</v>
      </c>
      <c r="AH169" s="304">
        <f t="shared" ca="1" si="86"/>
        <v>68.649723010812707</v>
      </c>
    </row>
    <row r="170" spans="1:34" x14ac:dyDescent="0.25">
      <c r="A170" s="347">
        <f t="shared" ca="1" si="64"/>
        <v>0.01</v>
      </c>
      <c r="B170" s="304">
        <f t="shared" ca="1" si="65"/>
        <v>1.6600000000000013</v>
      </c>
      <c r="D170" s="306">
        <f t="shared" ca="1" si="66"/>
        <v>14.928528903157588</v>
      </c>
      <c r="E170" s="307">
        <f t="shared" ca="1" si="67"/>
        <v>57.100306318290677</v>
      </c>
      <c r="F170" s="304">
        <f t="shared" ca="1" si="68"/>
        <v>59.019538771961258</v>
      </c>
      <c r="G170" s="306">
        <f t="shared" ca="1" si="69"/>
        <v>22.640407619931533</v>
      </c>
      <c r="H170" s="307">
        <f t="shared" ca="1" si="70"/>
        <v>101.37717722575296</v>
      </c>
      <c r="I170" s="304">
        <f t="shared" ca="1" si="71"/>
        <v>103.87454028518431</v>
      </c>
      <c r="J170" s="306">
        <f t="shared" ca="1" si="72"/>
        <v>17.596428511958067</v>
      </c>
      <c r="K170" s="307">
        <f t="shared" ca="1" si="73"/>
        <v>84.730853686778673</v>
      </c>
      <c r="L170" s="304">
        <f t="shared" ca="1" si="58"/>
        <v>86.538730420932026</v>
      </c>
      <c r="M170" s="306">
        <f t="shared" ca="1" si="74"/>
        <v>1.3510734604136989</v>
      </c>
      <c r="N170" s="304">
        <f t="shared" ca="1" si="75"/>
        <v>77.410807093840447</v>
      </c>
      <c r="P170" s="310">
        <f t="shared" ca="1" si="76"/>
        <v>7</v>
      </c>
      <c r="Q170" s="304">
        <f t="shared" ca="1" si="77"/>
        <v>951.15974025974003</v>
      </c>
      <c r="R170" s="306">
        <f t="shared" ca="1" si="78"/>
        <v>0.47646659914640749</v>
      </c>
      <c r="S170" s="307">
        <f t="shared" ca="1" si="79"/>
        <v>13.442663252130034</v>
      </c>
      <c r="T170" s="304">
        <f t="shared" ca="1" si="59"/>
        <v>131.87252650339565</v>
      </c>
      <c r="U170" s="311">
        <f t="shared" ca="1" si="60"/>
        <v>0</v>
      </c>
      <c r="V170" s="306">
        <f t="shared" ca="1" si="61"/>
        <v>1.2146642582345333</v>
      </c>
      <c r="W170" s="304">
        <f t="shared" ca="1" si="62"/>
        <v>29.927788404983978</v>
      </c>
      <c r="Y170" s="314" t="str">
        <f t="shared" ca="1" si="80"/>
        <v/>
      </c>
      <c r="Z170" s="315" t="str">
        <f t="shared" ca="1" si="81"/>
        <v/>
      </c>
      <c r="AA170" s="316" t="str">
        <f t="shared" ca="1" si="82"/>
        <v/>
      </c>
      <c r="AC170" s="310" t="e">
        <f t="shared" ca="1" si="83"/>
        <v>#N/A</v>
      </c>
      <c r="AD170" s="323" t="e">
        <f t="shared" ca="1" si="84"/>
        <v>#N/A</v>
      </c>
      <c r="AE170" s="324">
        <f t="shared" ca="1" si="63"/>
        <v>84.730853686778673</v>
      </c>
      <c r="AG170" s="306">
        <f t="shared" ca="1" si="85"/>
        <v>58.980866067820337</v>
      </c>
      <c r="AH170" s="304">
        <f t="shared" ca="1" si="86"/>
        <v>68.555452495187438</v>
      </c>
    </row>
    <row r="171" spans="1:34" x14ac:dyDescent="0.25">
      <c r="A171" s="347">
        <f t="shared" ca="1" si="64"/>
        <v>0.01</v>
      </c>
      <c r="B171" s="304">
        <f t="shared" ca="1" si="65"/>
        <v>1.6700000000000013</v>
      </c>
      <c r="D171" s="306">
        <f t="shared" ca="1" si="66"/>
        <v>14.921698930078973</v>
      </c>
      <c r="E171" s="307">
        <f t="shared" ca="1" si="67"/>
        <v>57.005038948866712</v>
      </c>
      <c r="F171" s="304">
        <f t="shared" ca="1" si="68"/>
        <v>58.925644370865655</v>
      </c>
      <c r="G171" s="306">
        <f t="shared" ca="1" si="69"/>
        <v>22.789624609232323</v>
      </c>
      <c r="H171" s="307">
        <f t="shared" ca="1" si="70"/>
        <v>101.94722761524163</v>
      </c>
      <c r="I171" s="304">
        <f t="shared" ca="1" si="71"/>
        <v>104.46341085884383</v>
      </c>
      <c r="J171" s="306">
        <f t="shared" ca="1" si="72"/>
        <v>17.823578673103885</v>
      </c>
      <c r="K171" s="307">
        <f t="shared" ca="1" si="73"/>
        <v>85.74747571098365</v>
      </c>
      <c r="L171" s="304">
        <f t="shared" ca="1" si="58"/>
        <v>87.580303422185366</v>
      </c>
      <c r="M171" s="306">
        <f t="shared" ca="1" si="74"/>
        <v>1.3508687782801234</v>
      </c>
      <c r="N171" s="304">
        <f t="shared" ca="1" si="75"/>
        <v>77.399079671444838</v>
      </c>
      <c r="P171" s="310">
        <f t="shared" ca="1" si="76"/>
        <v>7</v>
      </c>
      <c r="Q171" s="304">
        <f t="shared" ca="1" si="77"/>
        <v>949.89999999999975</v>
      </c>
      <c r="R171" s="306">
        <f t="shared" ca="1" si="78"/>
        <v>0.47583555460997418</v>
      </c>
      <c r="S171" s="307">
        <f t="shared" ca="1" si="79"/>
        <v>13.437904896583934</v>
      </c>
      <c r="T171" s="304">
        <f t="shared" ca="1" si="59"/>
        <v>131.82584703548841</v>
      </c>
      <c r="U171" s="311">
        <f t="shared" ca="1" si="60"/>
        <v>0</v>
      </c>
      <c r="V171" s="306">
        <f t="shared" ca="1" si="61"/>
        <v>1.2145407768246637</v>
      </c>
      <c r="W171" s="304">
        <f t="shared" ca="1" si="62"/>
        <v>30.264997821261765</v>
      </c>
      <c r="Y171" s="314" t="str">
        <f t="shared" ca="1" si="80"/>
        <v/>
      </c>
      <c r="Z171" s="315" t="str">
        <f t="shared" ca="1" si="81"/>
        <v/>
      </c>
      <c r="AA171" s="316" t="str">
        <f t="shared" ca="1" si="82"/>
        <v/>
      </c>
      <c r="AC171" s="310" t="e">
        <f t="shared" ca="1" si="83"/>
        <v>#N/A</v>
      </c>
      <c r="AD171" s="323" t="e">
        <f t="shared" ca="1" si="84"/>
        <v>#N/A</v>
      </c>
      <c r="AE171" s="324">
        <f t="shared" ca="1" si="63"/>
        <v>85.74747571098365</v>
      </c>
      <c r="AG171" s="306">
        <f t="shared" ca="1" si="85"/>
        <v>58.886838542394443</v>
      </c>
      <c r="AH171" s="304">
        <f t="shared" ca="1" si="86"/>
        <v>68.460985449367413</v>
      </c>
    </row>
    <row r="172" spans="1:34" x14ac:dyDescent="0.25">
      <c r="A172" s="347">
        <f t="shared" ca="1" si="64"/>
        <v>0.01</v>
      </c>
      <c r="B172" s="304">
        <f t="shared" ca="1" si="65"/>
        <v>1.6800000000000013</v>
      </c>
      <c r="D172" s="306">
        <f t="shared" ca="1" si="66"/>
        <v>14.914722926174244</v>
      </c>
      <c r="E172" s="307">
        <f t="shared" ca="1" si="67"/>
        <v>56.909600653578636</v>
      </c>
      <c r="F172" s="304">
        <f t="shared" ca="1" si="68"/>
        <v>58.831552814066924</v>
      </c>
      <c r="G172" s="306">
        <f t="shared" ca="1" si="69"/>
        <v>22.938771838494066</v>
      </c>
      <c r="H172" s="307">
        <f t="shared" ca="1" si="70"/>
        <v>102.51632362177742</v>
      </c>
      <c r="I172" s="304">
        <f t="shared" ca="1" si="71"/>
        <v>105.05133917463159</v>
      </c>
      <c r="J172" s="306">
        <f t="shared" ca="1" si="72"/>
        <v>18.052220655342516</v>
      </c>
      <c r="K172" s="307">
        <f t="shared" ca="1" si="73"/>
        <v>86.769793467168739</v>
      </c>
      <c r="L172" s="304">
        <f t="shared" ca="1" si="58"/>
        <v>88.627759358590879</v>
      </c>
      <c r="M172" s="306">
        <f t="shared" ca="1" si="74"/>
        <v>1.3506650551281656</v>
      </c>
      <c r="N172" s="304">
        <f t="shared" ca="1" si="75"/>
        <v>77.38740719464856</v>
      </c>
      <c r="P172" s="310">
        <f t="shared" ca="1" si="76"/>
        <v>7</v>
      </c>
      <c r="Q172" s="304">
        <f t="shared" ca="1" si="77"/>
        <v>948.64025974025958</v>
      </c>
      <c r="R172" s="306">
        <f t="shared" ca="1" si="78"/>
        <v>0.47520451007354086</v>
      </c>
      <c r="S172" s="307">
        <f t="shared" ca="1" si="79"/>
        <v>13.433152851483198</v>
      </c>
      <c r="T172" s="304">
        <f t="shared" ca="1" si="59"/>
        <v>131.77922947305018</v>
      </c>
      <c r="U172" s="311">
        <f t="shared" ca="1" si="60"/>
        <v>0</v>
      </c>
      <c r="V172" s="306">
        <f t="shared" ca="1" si="61"/>
        <v>1.2144166162015904</v>
      </c>
      <c r="W172" s="304">
        <f t="shared" ca="1" si="62"/>
        <v>30.603495195240935</v>
      </c>
      <c r="Y172" s="314" t="str">
        <f t="shared" ca="1" si="80"/>
        <v/>
      </c>
      <c r="Z172" s="315" t="str">
        <f t="shared" ca="1" si="81"/>
        <v/>
      </c>
      <c r="AA172" s="316" t="str">
        <f t="shared" ca="1" si="82"/>
        <v/>
      </c>
      <c r="AC172" s="310" t="e">
        <f t="shared" ca="1" si="83"/>
        <v>#N/A</v>
      </c>
      <c r="AD172" s="323" t="e">
        <f t="shared" ca="1" si="84"/>
        <v>#N/A</v>
      </c>
      <c r="AE172" s="324">
        <f t="shared" ca="1" si="63"/>
        <v>86.769793467168739</v>
      </c>
      <c r="AG172" s="306">
        <f t="shared" ca="1" si="85"/>
        <v>58.792613580845519</v>
      </c>
      <c r="AH172" s="304">
        <f t="shared" ca="1" si="86"/>
        <v>68.366322640153456</v>
      </c>
    </row>
    <row r="173" spans="1:34" x14ac:dyDescent="0.25">
      <c r="A173" s="347">
        <f t="shared" ca="1" si="64"/>
        <v>0.01</v>
      </c>
      <c r="B173" s="304">
        <f t="shared" ca="1" si="65"/>
        <v>1.6900000000000013</v>
      </c>
      <c r="D173" s="306">
        <f t="shared" ca="1" si="66"/>
        <v>14.907602009322769</v>
      </c>
      <c r="E173" s="307">
        <f t="shared" ca="1" si="67"/>
        <v>56.813992024183435</v>
      </c>
      <c r="F173" s="304">
        <f t="shared" ca="1" si="68"/>
        <v>58.737264895399605</v>
      </c>
      <c r="G173" s="306">
        <f t="shared" ca="1" si="69"/>
        <v>23.087847858587295</v>
      </c>
      <c r="H173" s="307">
        <f t="shared" ca="1" si="70"/>
        <v>103.08446354201925</v>
      </c>
      <c r="I173" s="304">
        <f t="shared" ca="1" si="71"/>
        <v>105.63832326616686</v>
      </c>
      <c r="J173" s="306">
        <f t="shared" ca="1" si="72"/>
        <v>18.282353753827923</v>
      </c>
      <c r="K173" s="307">
        <f t="shared" ca="1" si="73"/>
        <v>87.797797402987726</v>
      </c>
      <c r="L173" s="304">
        <f t="shared" ca="1" si="58"/>
        <v>89.681088795777811</v>
      </c>
      <c r="M173" s="306">
        <f t="shared" ca="1" si="74"/>
        <v>1.3504622793486178</v>
      </c>
      <c r="N173" s="304">
        <f t="shared" ca="1" si="75"/>
        <v>77.37578899829299</v>
      </c>
      <c r="P173" s="310">
        <f t="shared" ca="1" si="76"/>
        <v>7</v>
      </c>
      <c r="Q173" s="304">
        <f t="shared" ca="1" si="77"/>
        <v>947.3805194805193</v>
      </c>
      <c r="R173" s="306">
        <f t="shared" ca="1" si="78"/>
        <v>0.47457346553710755</v>
      </c>
      <c r="S173" s="307">
        <f t="shared" ca="1" si="79"/>
        <v>13.428407116827827</v>
      </c>
      <c r="T173" s="304">
        <f t="shared" ca="1" si="59"/>
        <v>131.73267381608099</v>
      </c>
      <c r="U173" s="311">
        <f t="shared" ca="1" si="60"/>
        <v>0</v>
      </c>
      <c r="V173" s="306">
        <f t="shared" ca="1" si="61"/>
        <v>1.2142917777345841</v>
      </c>
      <c r="W173" s="304">
        <f t="shared" ca="1" si="62"/>
        <v>30.94326919863046</v>
      </c>
      <c r="Y173" s="314" t="str">
        <f t="shared" ca="1" si="80"/>
        <v/>
      </c>
      <c r="Z173" s="315" t="str">
        <f t="shared" ca="1" si="81"/>
        <v/>
      </c>
      <c r="AA173" s="316" t="str">
        <f t="shared" ca="1" si="82"/>
        <v/>
      </c>
      <c r="AC173" s="310" t="e">
        <f t="shared" ca="1" si="83"/>
        <v>#N/A</v>
      </c>
      <c r="AD173" s="323" t="e">
        <f t="shared" ca="1" si="84"/>
        <v>#N/A</v>
      </c>
      <c r="AE173" s="324">
        <f t="shared" ca="1" si="63"/>
        <v>87.797797402987726</v>
      </c>
      <c r="AG173" s="306">
        <f t="shared" ca="1" si="85"/>
        <v>58.698191971609646</v>
      </c>
      <c r="AH173" s="304">
        <f t="shared" ca="1" si="86"/>
        <v>68.271464836392838</v>
      </c>
    </row>
    <row r="174" spans="1:34" x14ac:dyDescent="0.25">
      <c r="A174" s="347">
        <f t="shared" ca="1" si="64"/>
        <v>0.01</v>
      </c>
      <c r="B174" s="304">
        <f t="shared" ca="1" si="65"/>
        <v>1.7000000000000013</v>
      </c>
      <c r="D174" s="306">
        <f t="shared" ca="1" si="66"/>
        <v>14.90033728111554</v>
      </c>
      <c r="E174" s="307">
        <f t="shared" ca="1" si="67"/>
        <v>56.718213657109999</v>
      </c>
      <c r="F174" s="304">
        <f t="shared" ca="1" si="68"/>
        <v>58.642781410371228</v>
      </c>
      <c r="G174" s="306">
        <f t="shared" ca="1" si="69"/>
        <v>23.23685123139845</v>
      </c>
      <c r="H174" s="307">
        <f t="shared" ca="1" si="70"/>
        <v>103.65164567859036</v>
      </c>
      <c r="I174" s="304">
        <f t="shared" ca="1" si="71"/>
        <v>106.22436117496862</v>
      </c>
      <c r="J174" s="306">
        <f t="shared" ca="1" si="72"/>
        <v>18.51397724927785</v>
      </c>
      <c r="K174" s="307">
        <f t="shared" ca="1" si="73"/>
        <v>88.831477949090768</v>
      </c>
      <c r="L174" s="304">
        <f t="shared" ca="1" si="58"/>
        <v>90.740282279738238</v>
      </c>
      <c r="M174" s="306">
        <f t="shared" ca="1" si="74"/>
        <v>1.3502604395356956</v>
      </c>
      <c r="N174" s="304">
        <f t="shared" ca="1" si="75"/>
        <v>77.364224428874849</v>
      </c>
      <c r="P174" s="310">
        <f t="shared" ca="1" si="76"/>
        <v>7</v>
      </c>
      <c r="Q174" s="304">
        <f t="shared" ca="1" si="77"/>
        <v>946.12077922077901</v>
      </c>
      <c r="R174" s="306">
        <f t="shared" ca="1" si="78"/>
        <v>0.47394242100067419</v>
      </c>
      <c r="S174" s="307">
        <f t="shared" ca="1" si="79"/>
        <v>13.423667692617821</v>
      </c>
      <c r="T174" s="304">
        <f t="shared" ca="1" si="59"/>
        <v>131.68618006458084</v>
      </c>
      <c r="U174" s="311">
        <f t="shared" ca="1" si="60"/>
        <v>0</v>
      </c>
      <c r="V174" s="306">
        <f t="shared" ca="1" si="61"/>
        <v>1.2141662627956153</v>
      </c>
      <c r="W174" s="304">
        <f t="shared" ca="1" si="62"/>
        <v>31.284308498299712</v>
      </c>
      <c r="Y174" s="314" t="str">
        <f t="shared" ca="1" si="80"/>
        <v/>
      </c>
      <c r="Z174" s="315" t="str">
        <f t="shared" ca="1" si="81"/>
        <v/>
      </c>
      <c r="AA174" s="316" t="str">
        <f t="shared" ca="1" si="82"/>
        <v/>
      </c>
      <c r="AC174" s="310" t="e">
        <f t="shared" ca="1" si="83"/>
        <v>#N/A</v>
      </c>
      <c r="AD174" s="323" t="e">
        <f t="shared" ca="1" si="84"/>
        <v>#N/A</v>
      </c>
      <c r="AE174" s="324">
        <f t="shared" ca="1" si="63"/>
        <v>88.831477949090768</v>
      </c>
      <c r="AG174" s="306">
        <f t="shared" ca="1" si="85"/>
        <v>58.603574504817885</v>
      </c>
      <c r="AH174" s="304">
        <f t="shared" ca="1" si="86"/>
        <v>68.176412808955263</v>
      </c>
    </row>
    <row r="175" spans="1:34" x14ac:dyDescent="0.25">
      <c r="A175" s="347">
        <f t="shared" ca="1" si="64"/>
        <v>0.01</v>
      </c>
      <c r="B175" s="304">
        <f t="shared" ca="1" si="65"/>
        <v>1.7100000000000013</v>
      </c>
      <c r="D175" s="306">
        <f t="shared" ca="1" si="66"/>
        <v>14.892929827253383</v>
      </c>
      <c r="E175" s="307">
        <f t="shared" ca="1" si="67"/>
        <v>56.622266153372266</v>
      </c>
      <c r="F175" s="304">
        <f t="shared" ca="1" si="68"/>
        <v>58.548103156146915</v>
      </c>
      <c r="G175" s="306">
        <f t="shared" ca="1" si="69"/>
        <v>23.385780529670985</v>
      </c>
      <c r="H175" s="307">
        <f t="shared" ca="1" si="70"/>
        <v>104.21786834012408</v>
      </c>
      <c r="I175" s="304">
        <f t="shared" ca="1" si="71"/>
        <v>106.80945095047242</v>
      </c>
      <c r="J175" s="306">
        <f t="shared" ca="1" si="72"/>
        <v>18.747090408083199</v>
      </c>
      <c r="K175" s="307">
        <f t="shared" ca="1" si="73"/>
        <v>89.870825519184336</v>
      </c>
      <c r="L175" s="304">
        <f t="shared" ca="1" si="58"/>
        <v>91.805330336906479</v>
      </c>
      <c r="M175" s="306">
        <f t="shared" ca="1" si="74"/>
        <v>1.3500595244822313</v>
      </c>
      <c r="N175" s="304">
        <f t="shared" ca="1" si="75"/>
        <v>77.352712844270698</v>
      </c>
      <c r="P175" s="310">
        <f t="shared" ca="1" si="76"/>
        <v>7</v>
      </c>
      <c r="Q175" s="304">
        <f t="shared" ca="1" si="77"/>
        <v>944.86103896103873</v>
      </c>
      <c r="R175" s="306">
        <f t="shared" ca="1" si="78"/>
        <v>0.47331137646424087</v>
      </c>
      <c r="S175" s="307">
        <f t="shared" ca="1" si="79"/>
        <v>13.418934578853179</v>
      </c>
      <c r="T175" s="304">
        <f t="shared" ca="1" si="59"/>
        <v>131.6397482185497</v>
      </c>
      <c r="U175" s="311">
        <f t="shared" ca="1" si="60"/>
        <v>0</v>
      </c>
      <c r="V175" s="306">
        <f t="shared" ca="1" si="61"/>
        <v>1.2140400727593375</v>
      </c>
      <c r="W175" s="304">
        <f t="shared" ca="1" si="62"/>
        <v>31.626601756599367</v>
      </c>
      <c r="Y175" s="314" t="str">
        <f t="shared" ca="1" si="80"/>
        <v/>
      </c>
      <c r="Z175" s="315" t="str">
        <f t="shared" ca="1" si="81"/>
        <v/>
      </c>
      <c r="AA175" s="316" t="str">
        <f t="shared" ca="1" si="82"/>
        <v/>
      </c>
      <c r="AC175" s="310" t="e">
        <f t="shared" ca="1" si="83"/>
        <v>#N/A</v>
      </c>
      <c r="AD175" s="323" t="e">
        <f t="shared" ca="1" si="84"/>
        <v>#N/A</v>
      </c>
      <c r="AE175" s="324">
        <f t="shared" ca="1" si="63"/>
        <v>89.870825519184336</v>
      </c>
      <c r="AG175" s="306">
        <f t="shared" ca="1" si="85"/>
        <v>58.508761972279849</v>
      </c>
      <c r="AH175" s="304">
        <f t="shared" ca="1" si="86"/>
        <v>68.081167330708894</v>
      </c>
    </row>
    <row r="176" spans="1:34" x14ac:dyDescent="0.25">
      <c r="A176" s="347">
        <f t="shared" ca="1" si="64"/>
        <v>0.01</v>
      </c>
      <c r="B176" s="304">
        <f t="shared" ca="1" si="65"/>
        <v>1.7200000000000013</v>
      </c>
      <c r="D176" s="306">
        <f t="shared" ca="1" si="66"/>
        <v>14.885380717933183</v>
      </c>
      <c r="E176" s="307">
        <f t="shared" ca="1" si="67"/>
        <v>56.526150118484324</v>
      </c>
      <c r="F176" s="304">
        <f t="shared" ca="1" si="68"/>
        <v>58.453230931533994</v>
      </c>
      <c r="G176" s="306">
        <f t="shared" ca="1" si="69"/>
        <v>23.534634336850317</v>
      </c>
      <c r="H176" s="307">
        <f t="shared" ca="1" si="70"/>
        <v>104.78312984130893</v>
      </c>
      <c r="I176" s="304">
        <f t="shared" ca="1" si="71"/>
        <v>107.393590650047</v>
      </c>
      <c r="J176" s="306">
        <f t="shared" ca="1" si="72"/>
        <v>18.981692482415806</v>
      </c>
      <c r="K176" s="307">
        <f t="shared" ca="1" si="73"/>
        <v>90.915830510091496</v>
      </c>
      <c r="L176" s="304">
        <f t="shared" ca="1" si="58"/>
        <v>92.876223474238472</v>
      </c>
      <c r="M176" s="306">
        <f t="shared" ca="1" si="74"/>
        <v>1.3498595231750108</v>
      </c>
      <c r="N176" s="304">
        <f t="shared" ca="1" si="75"/>
        <v>77.34125361346986</v>
      </c>
      <c r="P176" s="310">
        <f t="shared" ca="1" si="76"/>
        <v>7</v>
      </c>
      <c r="Q176" s="304">
        <f t="shared" ca="1" si="77"/>
        <v>943.60129870129845</v>
      </c>
      <c r="R176" s="306">
        <f t="shared" ca="1" si="78"/>
        <v>0.47268033192780751</v>
      </c>
      <c r="S176" s="307">
        <f t="shared" ca="1" si="79"/>
        <v>13.414207775533901</v>
      </c>
      <c r="T176" s="304">
        <f t="shared" ca="1" si="59"/>
        <v>131.59337827798757</v>
      </c>
      <c r="U176" s="311">
        <f t="shared" ca="1" si="60"/>
        <v>0</v>
      </c>
      <c r="V176" s="306">
        <f t="shared" ca="1" si="61"/>
        <v>1.2139132090030729</v>
      </c>
      <c r="W176" s="304">
        <f t="shared" ca="1" si="62"/>
        <v>31.970137631681837</v>
      </c>
      <c r="Y176" s="314" t="str">
        <f t="shared" ca="1" si="80"/>
        <v/>
      </c>
      <c r="Z176" s="315" t="str">
        <f t="shared" ca="1" si="81"/>
        <v/>
      </c>
      <c r="AA176" s="316" t="str">
        <f t="shared" ca="1" si="82"/>
        <v/>
      </c>
      <c r="AC176" s="310" t="e">
        <f t="shared" ca="1" si="83"/>
        <v>#N/A</v>
      </c>
      <c r="AD176" s="323" t="e">
        <f t="shared" ca="1" si="84"/>
        <v>#N/A</v>
      </c>
      <c r="AE176" s="324">
        <f t="shared" ca="1" si="63"/>
        <v>90.915830510091496</v>
      </c>
      <c r="AG176" s="306">
        <f t="shared" ca="1" si="85"/>
        <v>58.413755167466988</v>
      </c>
      <c r="AH176" s="304">
        <f t="shared" ca="1" si="86"/>
        <v>67.985729176496335</v>
      </c>
    </row>
    <row r="177" spans="1:34" x14ac:dyDescent="0.25">
      <c r="A177" s="347">
        <f t="shared" ca="1" si="64"/>
        <v>0.01</v>
      </c>
      <c r="B177" s="304">
        <f t="shared" ca="1" si="65"/>
        <v>1.7300000000000013</v>
      </c>
      <c r="D177" s="306">
        <f t="shared" ca="1" si="66"/>
        <v>14.877691008222468</v>
      </c>
      <c r="E177" s="307">
        <f t="shared" ca="1" si="67"/>
        <v>56.429866162377081</v>
      </c>
      <c r="F177" s="304">
        <f t="shared" ca="1" si="68"/>
        <v>58.358165536966062</v>
      </c>
      <c r="G177" s="306">
        <f t="shared" ca="1" si="69"/>
        <v>23.683411246932543</v>
      </c>
      <c r="H177" s="307">
        <f t="shared" ca="1" si="70"/>
        <v>105.3474285029327</v>
      </c>
      <c r="I177" s="304">
        <f t="shared" ca="1" si="71"/>
        <v>107.97677833901069</v>
      </c>
      <c r="J177" s="306">
        <f t="shared" ca="1" si="72"/>
        <v>19.217782710334721</v>
      </c>
      <c r="K177" s="307">
        <f t="shared" ca="1" si="73"/>
        <v>91.966483301812701</v>
      </c>
      <c r="L177" s="304">
        <f t="shared" ca="1" si="58"/>
        <v>93.952952179291501</v>
      </c>
      <c r="M177" s="306">
        <f t="shared" ca="1" si="74"/>
        <v>1.3496604247902462</v>
      </c>
      <c r="N177" s="304">
        <f t="shared" ca="1" si="75"/>
        <v>77.329846116314968</v>
      </c>
      <c r="P177" s="310">
        <f t="shared" ca="1" si="76"/>
        <v>7</v>
      </c>
      <c r="Q177" s="304">
        <f t="shared" ca="1" si="77"/>
        <v>942.34155844155828</v>
      </c>
      <c r="R177" s="306">
        <f t="shared" ca="1" si="78"/>
        <v>0.47204928739137425</v>
      </c>
      <c r="S177" s="307">
        <f t="shared" ca="1" si="79"/>
        <v>13.409487282659988</v>
      </c>
      <c r="T177" s="304">
        <f t="shared" ca="1" si="59"/>
        <v>131.54707024289448</v>
      </c>
      <c r="U177" s="311">
        <f t="shared" ca="1" si="60"/>
        <v>0</v>
      </c>
      <c r="V177" s="306">
        <f t="shared" ca="1" si="61"/>
        <v>1.2137856729067957</v>
      </c>
      <c r="W177" s="304">
        <f t="shared" ca="1" si="62"/>
        <v>32.314904777821077</v>
      </c>
      <c r="Y177" s="314" t="str">
        <f t="shared" ca="1" si="80"/>
        <v/>
      </c>
      <c r="Z177" s="315" t="str">
        <f t="shared" ca="1" si="81"/>
        <v/>
      </c>
      <c r="AA177" s="316" t="str">
        <f t="shared" ca="1" si="82"/>
        <v/>
      </c>
      <c r="AC177" s="310" t="e">
        <f t="shared" ca="1" si="83"/>
        <v>#N/A</v>
      </c>
      <c r="AD177" s="323" t="e">
        <f t="shared" ca="1" si="84"/>
        <v>#N/A</v>
      </c>
      <c r="AE177" s="324">
        <f t="shared" ca="1" si="63"/>
        <v>91.966483301812701</v>
      </c>
      <c r="AG177" s="306">
        <f t="shared" ca="1" si="85"/>
        <v>58.31855488549553</v>
      </c>
      <c r="AH177" s="304">
        <f t="shared" ca="1" si="86"/>
        <v>67.890099123110517</v>
      </c>
    </row>
    <row r="178" spans="1:34" x14ac:dyDescent="0.25">
      <c r="A178" s="347">
        <f t="shared" ca="1" si="64"/>
        <v>0.01</v>
      </c>
      <c r="B178" s="304">
        <f t="shared" ca="1" si="65"/>
        <v>1.7400000000000013</v>
      </c>
      <c r="D178" s="306">
        <f t="shared" ca="1" si="66"/>
        <v>14.869861738422925</v>
      </c>
      <c r="E178" s="307">
        <f t="shared" ca="1" si="67"/>
        <v>56.333414899316708</v>
      </c>
      <c r="F178" s="304">
        <f t="shared" ca="1" si="68"/>
        <v>58.262907774486948</v>
      </c>
      <c r="G178" s="306">
        <f t="shared" ca="1" si="69"/>
        <v>23.832109864316774</v>
      </c>
      <c r="H178" s="307">
        <f t="shared" ca="1" si="70"/>
        <v>105.91076265192586</v>
      </c>
      <c r="I178" s="304">
        <f t="shared" ca="1" si="71"/>
        <v>108.55901209064791</v>
      </c>
      <c r="J178" s="306">
        <f t="shared" ca="1" si="72"/>
        <v>19.455360315890967</v>
      </c>
      <c r="K178" s="307">
        <f t="shared" ca="1" si="73"/>
        <v>93.022774257586988</v>
      </c>
      <c r="L178" s="304">
        <f t="shared" ca="1" si="58"/>
        <v>95.035506920303916</v>
      </c>
      <c r="M178" s="306">
        <f t="shared" ca="1" si="74"/>
        <v>1.3494622186891809</v>
      </c>
      <c r="N178" s="304">
        <f t="shared" ca="1" si="75"/>
        <v>77.318489743250183</v>
      </c>
      <c r="P178" s="310">
        <f t="shared" ca="1" si="76"/>
        <v>7</v>
      </c>
      <c r="Q178" s="304">
        <f t="shared" ca="1" si="77"/>
        <v>941.08181818181799</v>
      </c>
      <c r="R178" s="306">
        <f t="shared" ca="1" si="78"/>
        <v>0.47141824285494088</v>
      </c>
      <c r="S178" s="307">
        <f t="shared" ca="1" si="79"/>
        <v>13.40477310023144</v>
      </c>
      <c r="T178" s="304">
        <f t="shared" ca="1" si="59"/>
        <v>131.50082411327043</v>
      </c>
      <c r="U178" s="311">
        <f t="shared" ca="1" si="60"/>
        <v>0</v>
      </c>
      <c r="V178" s="306">
        <f t="shared" ca="1" si="61"/>
        <v>1.2136574658531183</v>
      </c>
      <c r="W178" s="304">
        <f t="shared" ca="1" si="62"/>
        <v>32.660891845732124</v>
      </c>
      <c r="Y178" s="314" t="str">
        <f t="shared" ca="1" si="80"/>
        <v/>
      </c>
      <c r="Z178" s="315" t="str">
        <f t="shared" ca="1" si="81"/>
        <v/>
      </c>
      <c r="AA178" s="316" t="str">
        <f t="shared" ca="1" si="82"/>
        <v/>
      </c>
      <c r="AC178" s="310" t="e">
        <f t="shared" ca="1" si="83"/>
        <v>#N/A</v>
      </c>
      <c r="AD178" s="323" t="e">
        <f t="shared" ca="1" si="84"/>
        <v>#N/A</v>
      </c>
      <c r="AE178" s="324">
        <f t="shared" ca="1" si="63"/>
        <v>93.022774257586988</v>
      </c>
      <c r="AG178" s="306">
        <f t="shared" ca="1" si="85"/>
        <v>58.22316192310938</v>
      </c>
      <c r="AH178" s="304">
        <f t="shared" ca="1" si="86"/>
        <v>67.794277949270665</v>
      </c>
    </row>
    <row r="179" spans="1:34" x14ac:dyDescent="0.25">
      <c r="A179" s="347">
        <f t="shared" ca="1" si="64"/>
        <v>0.01</v>
      </c>
      <c r="B179" s="304">
        <f t="shared" ca="1" si="65"/>
        <v>1.7500000000000013</v>
      </c>
      <c r="D179" s="306">
        <f t="shared" ca="1" si="66"/>
        <v>14.86189393442311</v>
      </c>
      <c r="E179" s="307">
        <f t="shared" ca="1" si="67"/>
        <v>56.236796947824814</v>
      </c>
      <c r="F179" s="304">
        <f t="shared" ca="1" si="68"/>
        <v>58.167458447734504</v>
      </c>
      <c r="G179" s="306">
        <f t="shared" ca="1" si="69"/>
        <v>23.980728803661005</v>
      </c>
      <c r="H179" s="307">
        <f t="shared" ca="1" si="70"/>
        <v>106.47313062140411</v>
      </c>
      <c r="I179" s="304">
        <f t="shared" ca="1" si="71"/>
        <v>109.14028998622516</v>
      </c>
      <c r="J179" s="306">
        <f t="shared" ca="1" si="72"/>
        <v>19.694424509230856</v>
      </c>
      <c r="K179" s="307">
        <f t="shared" ca="1" si="73"/>
        <v>94.084693723953635</v>
      </c>
      <c r="L179" s="304">
        <f t="shared" ca="1" si="58"/>
        <v>96.123878146275146</v>
      </c>
      <c r="M179" s="306">
        <f t="shared" ca="1" si="74"/>
        <v>1.3492648944138221</v>
      </c>
      <c r="N179" s="304">
        <f t="shared" ca="1" si="75"/>
        <v>77.307183895076648</v>
      </c>
      <c r="P179" s="310">
        <f t="shared" ca="1" si="76"/>
        <v>7</v>
      </c>
      <c r="Q179" s="304">
        <f t="shared" ca="1" si="77"/>
        <v>939.82207792207771</v>
      </c>
      <c r="R179" s="306">
        <f t="shared" ca="1" si="78"/>
        <v>0.47078719831850757</v>
      </c>
      <c r="S179" s="307">
        <f t="shared" ca="1" si="79"/>
        <v>13.400065228248254</v>
      </c>
      <c r="T179" s="304">
        <f t="shared" ca="1" si="59"/>
        <v>131.45463988911538</v>
      </c>
      <c r="U179" s="311">
        <f t="shared" ca="1" si="60"/>
        <v>0</v>
      </c>
      <c r="V179" s="306">
        <f t="shared" ca="1" si="61"/>
        <v>1.2135285892272722</v>
      </c>
      <c r="W179" s="304">
        <f t="shared" ca="1" si="62"/>
        <v>33.008087482889756</v>
      </c>
      <c r="Y179" s="314" t="str">
        <f t="shared" ca="1" si="80"/>
        <v/>
      </c>
      <c r="Z179" s="315" t="str">
        <f t="shared" ca="1" si="81"/>
        <v/>
      </c>
      <c r="AA179" s="316" t="str">
        <f t="shared" ca="1" si="82"/>
        <v/>
      </c>
      <c r="AC179" s="310" t="e">
        <f t="shared" ca="1" si="83"/>
        <v>#N/A</v>
      </c>
      <c r="AD179" s="323" t="e">
        <f t="shared" ca="1" si="84"/>
        <v>#N/A</v>
      </c>
      <c r="AE179" s="324">
        <f t="shared" ca="1" si="63"/>
        <v>94.084693723953635</v>
      </c>
      <c r="AG179" s="306">
        <f t="shared" ca="1" si="85"/>
        <v>58.127577078662746</v>
      </c>
      <c r="AH179" s="304">
        <f t="shared" ca="1" si="86"/>
        <v>67.698266435598214</v>
      </c>
    </row>
    <row r="180" spans="1:34" x14ac:dyDescent="0.25">
      <c r="A180" s="347">
        <f t="shared" ca="1" si="64"/>
        <v>0.01</v>
      </c>
      <c r="B180" s="304">
        <f t="shared" ca="1" si="65"/>
        <v>1.7600000000000013</v>
      </c>
      <c r="D180" s="306">
        <f t="shared" ca="1" si="66"/>
        <v>14.853788608040791</v>
      </c>
      <c r="E180" s="307">
        <f t="shared" ca="1" si="67"/>
        <v>56.14001293059988</v>
      </c>
      <c r="F180" s="304">
        <f t="shared" ca="1" si="68"/>
        <v>58.071818361923924</v>
      </c>
      <c r="G180" s="306">
        <f t="shared" ca="1" si="69"/>
        <v>24.129266689741414</v>
      </c>
      <c r="H180" s="307">
        <f t="shared" ca="1" si="70"/>
        <v>107.0345307507101</v>
      </c>
      <c r="I180" s="304">
        <f t="shared" ca="1" si="71"/>
        <v>109.72061011500698</v>
      </c>
      <c r="J180" s="306">
        <f t="shared" ca="1" si="72"/>
        <v>19.934974486697868</v>
      </c>
      <c r="K180" s="307">
        <f t="shared" ca="1" si="73"/>
        <v>95.152232030814204</v>
      </c>
      <c r="L180" s="304">
        <f t="shared" ca="1" si="58"/>
        <v>97.218056287045769</v>
      </c>
      <c r="M180" s="306">
        <f t="shared" ca="1" si="74"/>
        <v>1.3490684416827963</v>
      </c>
      <c r="N180" s="304">
        <f t="shared" ca="1" si="75"/>
        <v>77.295927982715057</v>
      </c>
      <c r="P180" s="310">
        <f t="shared" ca="1" si="76"/>
        <v>7</v>
      </c>
      <c r="Q180" s="304">
        <f t="shared" ca="1" si="77"/>
        <v>938.56233766233743</v>
      </c>
      <c r="R180" s="306">
        <f t="shared" ca="1" si="78"/>
        <v>0.4701561537820742</v>
      </c>
      <c r="S180" s="307">
        <f t="shared" ca="1" si="79"/>
        <v>13.395363666710432</v>
      </c>
      <c r="T180" s="304">
        <f t="shared" ca="1" si="59"/>
        <v>131.40851757042935</v>
      </c>
      <c r="U180" s="311">
        <f t="shared" ca="1" si="60"/>
        <v>0</v>
      </c>
      <c r="V180" s="306">
        <f t="shared" ca="1" si="61"/>
        <v>1.2133990444170955</v>
      </c>
      <c r="W180" s="304">
        <f t="shared" ca="1" si="62"/>
        <v>33.356480333846868</v>
      </c>
      <c r="Y180" s="314" t="str">
        <f t="shared" ca="1" si="80"/>
        <v/>
      </c>
      <c r="Z180" s="315" t="str">
        <f t="shared" ca="1" si="81"/>
        <v/>
      </c>
      <c r="AA180" s="316" t="str">
        <f t="shared" ca="1" si="82"/>
        <v/>
      </c>
      <c r="AC180" s="310" t="e">
        <f t="shared" ca="1" si="83"/>
        <v>#N/A</v>
      </c>
      <c r="AD180" s="323" t="e">
        <f t="shared" ca="1" si="84"/>
        <v>#N/A</v>
      </c>
      <c r="AE180" s="324">
        <f t="shared" ca="1" si="63"/>
        <v>95.152232030814204</v>
      </c>
      <c r="AG180" s="306">
        <f t="shared" ca="1" si="85"/>
        <v>58.031801152102403</v>
      </c>
      <c r="AH180" s="304">
        <f t="shared" ca="1" si="86"/>
        <v>67.602065364592619</v>
      </c>
    </row>
    <row r="181" spans="1:34" x14ac:dyDescent="0.25">
      <c r="A181" s="347">
        <f t="shared" ca="1" si="64"/>
        <v>0.01</v>
      </c>
      <c r="B181" s="304">
        <f t="shared" ca="1" si="65"/>
        <v>1.7700000000000014</v>
      </c>
      <c r="D181" s="306">
        <f t="shared" ca="1" si="66"/>
        <v>14.845546757355237</v>
      </c>
      <c r="E181" s="307">
        <f t="shared" ca="1" si="67"/>
        <v>56.043063474440473</v>
      </c>
      <c r="F181" s="304">
        <f t="shared" ca="1" si="68"/>
        <v>57.975988323830968</v>
      </c>
      <c r="G181" s="306">
        <f t="shared" ca="1" si="69"/>
        <v>24.277722157314965</v>
      </c>
      <c r="H181" s="307">
        <f t="shared" ca="1" si="70"/>
        <v>107.59496138545451</v>
      </c>
      <c r="I181" s="304">
        <f t="shared" ca="1" si="71"/>
        <v>110.29997057427182</v>
      </c>
      <c r="J181" s="306">
        <f t="shared" ca="1" si="72"/>
        <v>20.17700943093315</v>
      </c>
      <c r="K181" s="307">
        <f t="shared" ca="1" si="73"/>
        <v>96.225379491495033</v>
      </c>
      <c r="L181" s="304">
        <f t="shared" ca="1" si="58"/>
        <v>98.318031753377767</v>
      </c>
      <c r="M181" s="306">
        <f t="shared" ca="1" si="74"/>
        <v>1.3488728503873242</v>
      </c>
      <c r="N181" s="304">
        <f t="shared" ca="1" si="75"/>
        <v>77.284721426975011</v>
      </c>
      <c r="P181" s="310">
        <f t="shared" ca="1" si="76"/>
        <v>7</v>
      </c>
      <c r="Q181" s="304">
        <f t="shared" ca="1" si="77"/>
        <v>937.30259740259714</v>
      </c>
      <c r="R181" s="306">
        <f t="shared" ca="1" si="78"/>
        <v>0.46952510924564089</v>
      </c>
      <c r="S181" s="307">
        <f t="shared" ca="1" si="79"/>
        <v>13.390668415617975</v>
      </c>
      <c r="T181" s="304">
        <f t="shared" ca="1" si="59"/>
        <v>131.36245715721233</v>
      </c>
      <c r="U181" s="311">
        <f t="shared" ca="1" si="60"/>
        <v>0</v>
      </c>
      <c r="V181" s="306">
        <f t="shared" ca="1" si="61"/>
        <v>1.2132688328130143</v>
      </c>
      <c r="W181" s="304">
        <f t="shared" ca="1" si="62"/>
        <v>33.706059040552113</v>
      </c>
      <c r="Y181" s="314" t="str">
        <f t="shared" ca="1" si="80"/>
        <v/>
      </c>
      <c r="Z181" s="315" t="str">
        <f t="shared" ca="1" si="81"/>
        <v/>
      </c>
      <c r="AA181" s="316" t="str">
        <f t="shared" ca="1" si="82"/>
        <v/>
      </c>
      <c r="AC181" s="310" t="e">
        <f t="shared" ca="1" si="83"/>
        <v>#N/A</v>
      </c>
      <c r="AD181" s="323" t="e">
        <f t="shared" ca="1" si="84"/>
        <v>#N/A</v>
      </c>
      <c r="AE181" s="324">
        <f t="shared" ca="1" si="63"/>
        <v>96.225379491495033</v>
      </c>
      <c r="AG181" s="306">
        <f t="shared" ca="1" si="85"/>
        <v>57.935834944949917</v>
      </c>
      <c r="AH181" s="304">
        <f t="shared" ca="1" si="86"/>
        <v>67.505675520607198</v>
      </c>
    </row>
    <row r="182" spans="1:34" x14ac:dyDescent="0.25">
      <c r="A182" s="347">
        <f t="shared" ca="1" si="64"/>
        <v>0.01</v>
      </c>
      <c r="B182" s="304">
        <f t="shared" ca="1" si="65"/>
        <v>1.7800000000000014</v>
      </c>
      <c r="D182" s="306">
        <f t="shared" ca="1" si="66"/>
        <v>14.8371693670298</v>
      </c>
      <c r="E182" s="307">
        <f t="shared" ca="1" si="67"/>
        <v>55.945949210169914</v>
      </c>
      <c r="F182" s="304">
        <f t="shared" ca="1" si="68"/>
        <v>57.879969141775113</v>
      </c>
      <c r="G182" s="306">
        <f t="shared" ca="1" si="69"/>
        <v>24.426093850985264</v>
      </c>
      <c r="H182" s="307">
        <f t="shared" ca="1" si="70"/>
        <v>108.15442087755621</v>
      </c>
      <c r="I182" s="304">
        <f t="shared" ca="1" si="71"/>
        <v>110.87836946932754</v>
      </c>
      <c r="J182" s="306">
        <f t="shared" ca="1" si="72"/>
        <v>20.420528510974652</v>
      </c>
      <c r="K182" s="307">
        <f t="shared" ca="1" si="73"/>
        <v>97.304126402810084</v>
      </c>
      <c r="L182" s="304">
        <f t="shared" ca="1" si="58"/>
        <v>99.423794937034927</v>
      </c>
      <c r="M182" s="306">
        <f t="shared" ca="1" si="74"/>
        <v>1.3486781105873091</v>
      </c>
      <c r="N182" s="304">
        <f t="shared" ca="1" si="75"/>
        <v>77.273563658330929</v>
      </c>
      <c r="P182" s="310">
        <f t="shared" ca="1" si="76"/>
        <v>7</v>
      </c>
      <c r="Q182" s="304">
        <f t="shared" ca="1" si="77"/>
        <v>936.04285714285697</v>
      </c>
      <c r="R182" s="306">
        <f t="shared" ca="1" si="78"/>
        <v>0.46889406470920758</v>
      </c>
      <c r="S182" s="307">
        <f t="shared" ca="1" si="79"/>
        <v>13.385979474970883</v>
      </c>
      <c r="T182" s="304">
        <f t="shared" ca="1" si="59"/>
        <v>131.31645864946438</v>
      </c>
      <c r="U182" s="311">
        <f t="shared" ca="1" si="60"/>
        <v>0</v>
      </c>
      <c r="V182" s="306">
        <f t="shared" ca="1" si="61"/>
        <v>1.2131379558080284</v>
      </c>
      <c r="W182" s="304">
        <f t="shared" ca="1" si="62"/>
        <v>34.056812242667</v>
      </c>
      <c r="Y182" s="314" t="str">
        <f t="shared" ca="1" si="80"/>
        <v/>
      </c>
      <c r="Z182" s="315" t="str">
        <f t="shared" ca="1" si="81"/>
        <v/>
      </c>
      <c r="AA182" s="316" t="str">
        <f t="shared" ca="1" si="82"/>
        <v/>
      </c>
      <c r="AC182" s="310" t="e">
        <f t="shared" ca="1" si="83"/>
        <v>#N/A</v>
      </c>
      <c r="AD182" s="323" t="e">
        <f t="shared" ca="1" si="84"/>
        <v>#N/A</v>
      </c>
      <c r="AE182" s="324">
        <f t="shared" ca="1" si="63"/>
        <v>97.304126402810084</v>
      </c>
      <c r="AG182" s="306">
        <f t="shared" ca="1" si="85"/>
        <v>57.839679260283638</v>
      </c>
      <c r="AH182" s="304">
        <f t="shared" ca="1" si="86"/>
        <v>67.409097689825018</v>
      </c>
    </row>
    <row r="183" spans="1:34" x14ac:dyDescent="0.25">
      <c r="A183" s="347">
        <f t="shared" ca="1" si="64"/>
        <v>0.01</v>
      </c>
      <c r="B183" s="304">
        <f t="shared" ca="1" si="65"/>
        <v>1.7900000000000014</v>
      </c>
      <c r="D183" s="306">
        <f t="shared" ca="1" si="66"/>
        <v>14.828657408625258</v>
      </c>
      <c r="E183" s="307">
        <f t="shared" ca="1" si="67"/>
        <v>55.84867077256223</v>
      </c>
      <c r="F183" s="304">
        <f t="shared" ca="1" si="68"/>
        <v>57.783761625602253</v>
      </c>
      <c r="G183" s="306">
        <f t="shared" ca="1" si="69"/>
        <v>24.574380425071517</v>
      </c>
      <c r="H183" s="307">
        <f t="shared" ca="1" si="70"/>
        <v>108.71290758528183</v>
      </c>
      <c r="I183" s="304">
        <f t="shared" ca="1" si="71"/>
        <v>111.45580491352689</v>
      </c>
      <c r="J183" s="306">
        <f t="shared" ca="1" si="72"/>
        <v>20.665530882354936</v>
      </c>
      <c r="K183" s="307">
        <f t="shared" ca="1" si="73"/>
        <v>98.388463045124269</v>
      </c>
      <c r="L183" s="304">
        <f t="shared" ca="1" si="58"/>
        <v>100.53533621086343</v>
      </c>
      <c r="M183" s="306">
        <f t="shared" ca="1" si="74"/>
        <v>1.3484842125075374</v>
      </c>
      <c r="N183" s="304">
        <f t="shared" ca="1" si="75"/>
        <v>77.262454116704305</v>
      </c>
      <c r="P183" s="310">
        <f t="shared" ca="1" si="76"/>
        <v>7</v>
      </c>
      <c r="Q183" s="304">
        <f t="shared" ca="1" si="77"/>
        <v>934.78311688311669</v>
      </c>
      <c r="R183" s="306">
        <f t="shared" ca="1" si="78"/>
        <v>0.46826302017277427</v>
      </c>
      <c r="S183" s="307">
        <f t="shared" ca="1" si="79"/>
        <v>13.381296844769155</v>
      </c>
      <c r="T183" s="304">
        <f t="shared" ca="1" si="59"/>
        <v>131.27052204718541</v>
      </c>
      <c r="U183" s="311">
        <f t="shared" ca="1" si="60"/>
        <v>0</v>
      </c>
      <c r="V183" s="306">
        <f t="shared" ca="1" si="61"/>
        <v>1.2130064147976951</v>
      </c>
      <c r="W183" s="304">
        <f t="shared" ca="1" si="62"/>
        <v>34.408728577882506</v>
      </c>
      <c r="Y183" s="314" t="str">
        <f t="shared" ca="1" si="80"/>
        <v/>
      </c>
      <c r="Z183" s="315" t="str">
        <f t="shared" ca="1" si="81"/>
        <v/>
      </c>
      <c r="AA183" s="316" t="str">
        <f t="shared" ca="1" si="82"/>
        <v/>
      </c>
      <c r="AC183" s="310" t="e">
        <f t="shared" ca="1" si="83"/>
        <v>#N/A</v>
      </c>
      <c r="AD183" s="323" t="e">
        <f t="shared" ca="1" si="84"/>
        <v>#N/A</v>
      </c>
      <c r="AE183" s="324">
        <f t="shared" ca="1" si="63"/>
        <v>98.388463045124269</v>
      </c>
      <c r="AG183" s="306">
        <f t="shared" ca="1" si="85"/>
        <v>57.743334902720456</v>
      </c>
      <c r="AH183" s="304">
        <f t="shared" ca="1" si="86"/>
        <v>67.312332660234659</v>
      </c>
    </row>
    <row r="184" spans="1:34" x14ac:dyDescent="0.25">
      <c r="A184" s="347">
        <f t="shared" ca="1" si="64"/>
        <v>0.01</v>
      </c>
      <c r="B184" s="304">
        <f t="shared" ca="1" si="65"/>
        <v>1.8000000000000014</v>
      </c>
      <c r="D184" s="306">
        <f t="shared" ca="1" si="66"/>
        <v>14.820011840903986</v>
      </c>
      <c r="E184" s="307">
        <f t="shared" ca="1" si="67"/>
        <v>55.751228800269502</v>
      </c>
      <c r="F184" s="304">
        <f t="shared" ca="1" si="68"/>
        <v>57.68736658666726</v>
      </c>
      <c r="G184" s="306">
        <f t="shared" ca="1" si="69"/>
        <v>24.722580543480557</v>
      </c>
      <c r="H184" s="307">
        <f t="shared" ca="1" si="70"/>
        <v>109.27041987328452</v>
      </c>
      <c r="I184" s="304">
        <f t="shared" ca="1" si="71"/>
        <v>112.03227502828271</v>
      </c>
      <c r="J184" s="306">
        <f t="shared" ca="1" si="72"/>
        <v>20.912015687197698</v>
      </c>
      <c r="K184" s="307">
        <f t="shared" ca="1" si="73"/>
        <v>99.478379682417099</v>
      </c>
      <c r="L184" s="304">
        <f t="shared" ca="1" si="58"/>
        <v>101.65264592887259</v>
      </c>
      <c r="M184" s="306">
        <f t="shared" ca="1" si="74"/>
        <v>1.3482911465339846</v>
      </c>
      <c r="N184" s="304">
        <f t="shared" ca="1" si="75"/>
        <v>77.251392251252156</v>
      </c>
      <c r="P184" s="310">
        <f t="shared" ca="1" si="76"/>
        <v>7</v>
      </c>
      <c r="Q184" s="304">
        <f t="shared" ca="1" si="77"/>
        <v>933.52337662337641</v>
      </c>
      <c r="R184" s="306">
        <f t="shared" ca="1" si="78"/>
        <v>0.4676319756363409</v>
      </c>
      <c r="S184" s="307">
        <f t="shared" ca="1" si="79"/>
        <v>13.376620525012791</v>
      </c>
      <c r="T184" s="304">
        <f t="shared" ca="1" si="59"/>
        <v>131.22464735037548</v>
      </c>
      <c r="U184" s="311">
        <f t="shared" ca="1" si="60"/>
        <v>0</v>
      </c>
      <c r="V184" s="306">
        <f t="shared" ca="1" si="61"/>
        <v>1.212874211180113</v>
      </c>
      <c r="W184" s="304">
        <f t="shared" ca="1" si="62"/>
        <v>34.761796682234881</v>
      </c>
      <c r="Y184" s="314" t="str">
        <f t="shared" ca="1" si="80"/>
        <v/>
      </c>
      <c r="Z184" s="315" t="str">
        <f t="shared" ca="1" si="81"/>
        <v/>
      </c>
      <c r="AA184" s="316" t="str">
        <f t="shared" ca="1" si="82"/>
        <v/>
      </c>
      <c r="AC184" s="310" t="e">
        <f t="shared" ca="1" si="83"/>
        <v>#N/A</v>
      </c>
      <c r="AD184" s="323" t="e">
        <f t="shared" ca="1" si="84"/>
        <v>#N/A</v>
      </c>
      <c r="AE184" s="324">
        <f t="shared" ca="1" si="63"/>
        <v>99.478379682417099</v>
      </c>
      <c r="AG184" s="306">
        <f t="shared" ca="1" si="85"/>
        <v>57.646802678397407</v>
      </c>
      <c r="AH184" s="304">
        <f t="shared" ca="1" si="86"/>
        <v>67.21538122160598</v>
      </c>
    </row>
    <row r="185" spans="1:34" x14ac:dyDescent="0.25">
      <c r="A185" s="347">
        <f t="shared" ca="1" si="64"/>
        <v>0.01</v>
      </c>
      <c r="B185" s="304">
        <f t="shared" ca="1" si="65"/>
        <v>1.8100000000000014</v>
      </c>
      <c r="D185" s="306">
        <f t="shared" ca="1" si="66"/>
        <v>14.811233610125514</v>
      </c>
      <c r="E185" s="307">
        <f t="shared" ca="1" si="67"/>
        <v>55.653623935750701</v>
      </c>
      <c r="F185" s="304">
        <f t="shared" ca="1" si="68"/>
        <v>57.5907848378165</v>
      </c>
      <c r="G185" s="306">
        <f t="shared" ca="1" si="69"/>
        <v>24.870692879581814</v>
      </c>
      <c r="H185" s="307">
        <f t="shared" ca="1" si="70"/>
        <v>109.82695611264204</v>
      </c>
      <c r="I185" s="304">
        <f t="shared" ca="1" si="71"/>
        <v>112.60777794308297</v>
      </c>
      <c r="J185" s="306">
        <f t="shared" ca="1" si="72"/>
        <v>21.159982054313009</v>
      </c>
      <c r="K185" s="307">
        <f t="shared" ca="1" si="73"/>
        <v>100.57386656234674</v>
      </c>
      <c r="L185" s="304">
        <f t="shared" ca="1" si="58"/>
        <v>102.77571442631559</v>
      </c>
      <c r="M185" s="306">
        <f t="shared" ca="1" si="74"/>
        <v>1.3480989032102273</v>
      </c>
      <c r="N185" s="304">
        <f t="shared" ca="1" si="75"/>
        <v>77.240377520161289</v>
      </c>
      <c r="P185" s="310">
        <f t="shared" ca="1" si="76"/>
        <v>7</v>
      </c>
      <c r="Q185" s="304">
        <f t="shared" ca="1" si="77"/>
        <v>932.26363636363612</v>
      </c>
      <c r="R185" s="306">
        <f t="shared" ca="1" si="78"/>
        <v>0.46700093109990753</v>
      </c>
      <c r="S185" s="307">
        <f t="shared" ca="1" si="79"/>
        <v>13.371950515701792</v>
      </c>
      <c r="T185" s="304">
        <f t="shared" ca="1" si="59"/>
        <v>131.17883455903458</v>
      </c>
      <c r="U185" s="311">
        <f t="shared" ca="1" si="60"/>
        <v>0</v>
      </c>
      <c r="V185" s="306">
        <f t="shared" ca="1" si="61"/>
        <v>1.2127413463559045</v>
      </c>
      <c r="W185" s="304">
        <f t="shared" ca="1" si="62"/>
        <v>35.116005190420893</v>
      </c>
      <c r="Y185" s="314" t="str">
        <f t="shared" ca="1" si="80"/>
        <v/>
      </c>
      <c r="Z185" s="315" t="str">
        <f t="shared" ca="1" si="81"/>
        <v/>
      </c>
      <c r="AA185" s="316" t="str">
        <f t="shared" ca="1" si="82"/>
        <v/>
      </c>
      <c r="AC185" s="310" t="e">
        <f t="shared" ca="1" si="83"/>
        <v>#N/A</v>
      </c>
      <c r="AD185" s="323" t="e">
        <f t="shared" ca="1" si="84"/>
        <v>#N/A</v>
      </c>
      <c r="AE185" s="324">
        <f t="shared" ca="1" si="63"/>
        <v>100.57386656234674</v>
      </c>
      <c r="AG185" s="306">
        <f t="shared" ca="1" si="85"/>
        <v>57.550083394953099</v>
      </c>
      <c r="AH185" s="304">
        <f t="shared" ca="1" si="86"/>
        <v>67.118244165465953</v>
      </c>
    </row>
    <row r="186" spans="1:34" x14ac:dyDescent="0.25">
      <c r="A186" s="347">
        <f t="shared" ca="1" si="64"/>
        <v>0.01</v>
      </c>
      <c r="B186" s="304">
        <f t="shared" ca="1" si="65"/>
        <v>1.8200000000000014</v>
      </c>
      <c r="D186" s="306">
        <f t="shared" ca="1" si="66"/>
        <v>14.802323650333539</v>
      </c>
      <c r="E186" s="307">
        <f t="shared" ca="1" si="67"/>
        <v>55.555856825201573</v>
      </c>
      <c r="F186" s="304">
        <f t="shared" ca="1" si="68"/>
        <v>57.494017193369949</v>
      </c>
      <c r="G186" s="306">
        <f t="shared" ca="1" si="69"/>
        <v>25.018716116085148</v>
      </c>
      <c r="H186" s="307">
        <f t="shared" ca="1" si="70"/>
        <v>110.38251468089405</v>
      </c>
      <c r="I186" s="304">
        <f t="shared" ca="1" si="71"/>
        <v>113.18231179550561</v>
      </c>
      <c r="J186" s="306">
        <f t="shared" ca="1" si="72"/>
        <v>21.409429099291344</v>
      </c>
      <c r="K186" s="307">
        <f t="shared" ca="1" si="73"/>
        <v>101.67491391631442</v>
      </c>
      <c r="L186" s="304">
        <f t="shared" ca="1" si="58"/>
        <v>103.90453201977058</v>
      </c>
      <c r="M186" s="306">
        <f t="shared" ca="1" si="74"/>
        <v>1.3479074732339515</v>
      </c>
      <c r="N186" s="304">
        <f t="shared" ca="1" si="75"/>
        <v>77.229409390448396</v>
      </c>
      <c r="P186" s="310">
        <f t="shared" ca="1" si="76"/>
        <v>7</v>
      </c>
      <c r="Q186" s="304">
        <f t="shared" ca="1" si="77"/>
        <v>931.00389610389584</v>
      </c>
      <c r="R186" s="306">
        <f t="shared" ca="1" si="78"/>
        <v>0.46636988656347422</v>
      </c>
      <c r="S186" s="307">
        <f t="shared" ca="1" si="79"/>
        <v>13.367286816836158</v>
      </c>
      <c r="T186" s="304">
        <f t="shared" ca="1" si="59"/>
        <v>131.1330836731627</v>
      </c>
      <c r="U186" s="311">
        <f t="shared" ca="1" si="60"/>
        <v>0</v>
      </c>
      <c r="V186" s="306">
        <f t="shared" ca="1" si="61"/>
        <v>1.2126078217282026</v>
      </c>
      <c r="W186" s="304">
        <f t="shared" ca="1" si="62"/>
        <v>35.471342736112597</v>
      </c>
      <c r="Y186" s="314" t="str">
        <f t="shared" ca="1" si="80"/>
        <v/>
      </c>
      <c r="Z186" s="315" t="str">
        <f t="shared" ca="1" si="81"/>
        <v/>
      </c>
      <c r="AA186" s="316" t="str">
        <f t="shared" ca="1" si="82"/>
        <v/>
      </c>
      <c r="AC186" s="310" t="e">
        <f t="shared" ca="1" si="83"/>
        <v>#N/A</v>
      </c>
      <c r="AD186" s="323" t="e">
        <f t="shared" ca="1" si="84"/>
        <v>#N/A</v>
      </c>
      <c r="AE186" s="324">
        <f t="shared" ca="1" si="63"/>
        <v>101.67491391631442</v>
      </c>
      <c r="AG186" s="306">
        <f t="shared" ca="1" si="85"/>
        <v>57.453177861508991</v>
      </c>
      <c r="AH186" s="304">
        <f t="shared" ca="1" si="86"/>
        <v>67.020922285074349</v>
      </c>
    </row>
    <row r="187" spans="1:34" x14ac:dyDescent="0.25">
      <c r="A187" s="347">
        <f t="shared" ca="1" si="64"/>
        <v>0.01</v>
      </c>
      <c r="B187" s="304">
        <f t="shared" ca="1" si="65"/>
        <v>1.8300000000000014</v>
      </c>
      <c r="D187" s="306">
        <f t="shared" ca="1" si="66"/>
        <v>14.793282883634921</v>
      </c>
      <c r="E187" s="307">
        <f t="shared" ca="1" si="67"/>
        <v>55.45792811848591</v>
      </c>
      <c r="F187" s="304">
        <f t="shared" ca="1" si="68"/>
        <v>57.397064469103263</v>
      </c>
      <c r="G187" s="306">
        <f t="shared" ca="1" si="69"/>
        <v>25.166648944921498</v>
      </c>
      <c r="H187" s="307">
        <f t="shared" ca="1" si="70"/>
        <v>110.9370939620789</v>
      </c>
      <c r="I187" s="304">
        <f t="shared" ca="1" si="71"/>
        <v>113.75587473123329</v>
      </c>
      <c r="J187" s="306">
        <f t="shared" ca="1" si="72"/>
        <v>21.660355924596377</v>
      </c>
      <c r="K187" s="307">
        <f t="shared" ca="1" si="73"/>
        <v>102.78151195952928</v>
      </c>
      <c r="L187" s="304">
        <f t="shared" ca="1" si="58"/>
        <v>105.03908900722178</v>
      </c>
      <c r="M187" s="306">
        <f t="shared" ca="1" si="74"/>
        <v>1.3477168474535612</v>
      </c>
      <c r="N187" s="304">
        <f t="shared" ca="1" si="75"/>
        <v>77.218487337765652</v>
      </c>
      <c r="P187" s="310">
        <f t="shared" ca="1" si="76"/>
        <v>7</v>
      </c>
      <c r="Q187" s="304">
        <f t="shared" ca="1" si="77"/>
        <v>929.74415584415556</v>
      </c>
      <c r="R187" s="306">
        <f t="shared" ca="1" si="78"/>
        <v>0.46573884202704086</v>
      </c>
      <c r="S187" s="307">
        <f t="shared" ca="1" si="79"/>
        <v>13.362629428415888</v>
      </c>
      <c r="T187" s="304">
        <f t="shared" ca="1" si="59"/>
        <v>131.08739469275986</v>
      </c>
      <c r="U187" s="311">
        <f t="shared" ca="1" si="60"/>
        <v>0</v>
      </c>
      <c r="V187" s="306">
        <f t="shared" ca="1" si="61"/>
        <v>1.2124736387026325</v>
      </c>
      <c r="W187" s="304">
        <f t="shared" ca="1" si="62"/>
        <v>35.82779795227119</v>
      </c>
      <c r="Y187" s="314" t="str">
        <f t="shared" ca="1" si="80"/>
        <v/>
      </c>
      <c r="Z187" s="315" t="str">
        <f t="shared" ca="1" si="81"/>
        <v/>
      </c>
      <c r="AA187" s="316" t="str">
        <f t="shared" ca="1" si="82"/>
        <v/>
      </c>
      <c r="AC187" s="310" t="e">
        <f t="shared" ca="1" si="83"/>
        <v>#N/A</v>
      </c>
      <c r="AD187" s="323" t="e">
        <f t="shared" ca="1" si="84"/>
        <v>#N/A</v>
      </c>
      <c r="AE187" s="324">
        <f t="shared" ca="1" si="63"/>
        <v>102.78151195952928</v>
      </c>
      <c r="AG187" s="306">
        <f t="shared" ca="1" si="85"/>
        <v>57.356086888650402</v>
      </c>
      <c r="AH187" s="304">
        <f t="shared" ca="1" si="86"/>
        <v>66.923416375399498</v>
      </c>
    </row>
    <row r="188" spans="1:34" x14ac:dyDescent="0.25">
      <c r="A188" s="347">
        <f t="shared" ca="1" si="64"/>
        <v>0.01</v>
      </c>
      <c r="B188" s="304">
        <f t="shared" ca="1" si="65"/>
        <v>1.8400000000000014</v>
      </c>
      <c r="D188" s="306">
        <f t="shared" ca="1" si="66"/>
        <v>14.784112220470671</v>
      </c>
      <c r="E188" s="307">
        <f t="shared" ca="1" si="67"/>
        <v>55.359838469067981</v>
      </c>
      <c r="F188" s="304">
        <f t="shared" ca="1" si="68"/>
        <v>57.299927482229585</v>
      </c>
      <c r="G188" s="306">
        <f t="shared" ca="1" si="69"/>
        <v>25.314490067126204</v>
      </c>
      <c r="H188" s="307">
        <f t="shared" ca="1" si="70"/>
        <v>111.49069234676958</v>
      </c>
      <c r="I188" s="304">
        <f t="shared" ca="1" si="71"/>
        <v>114.32846490406777</v>
      </c>
      <c r="J188" s="306">
        <f t="shared" ca="1" si="72"/>
        <v>21.912761619656617</v>
      </c>
      <c r="K188" s="307">
        <f t="shared" ca="1" si="73"/>
        <v>103.89365089107352</v>
      </c>
      <c r="L188" s="304">
        <f t="shared" ca="1" si="58"/>
        <v>106.17937566814074</v>
      </c>
      <c r="M188" s="306">
        <f t="shared" ca="1" si="74"/>
        <v>1.3475270168648776</v>
      </c>
      <c r="N188" s="304">
        <f t="shared" ca="1" si="75"/>
        <v>77.207610846211594</v>
      </c>
      <c r="P188" s="310">
        <f t="shared" ca="1" si="76"/>
        <v>7</v>
      </c>
      <c r="Q188" s="304">
        <f t="shared" ca="1" si="77"/>
        <v>928.48441558441539</v>
      </c>
      <c r="R188" s="306">
        <f t="shared" ca="1" si="78"/>
        <v>0.4651077974906076</v>
      </c>
      <c r="S188" s="307">
        <f t="shared" ca="1" si="79"/>
        <v>13.357978350440982</v>
      </c>
      <c r="T188" s="304">
        <f t="shared" ca="1" si="59"/>
        <v>131.04176761782605</v>
      </c>
      <c r="U188" s="311">
        <f t="shared" ca="1" si="60"/>
        <v>0</v>
      </c>
      <c r="V188" s="306">
        <f t="shared" ca="1" si="61"/>
        <v>1.2123387986872958</v>
      </c>
      <c r="W188" s="304">
        <f t="shared" ca="1" si="62"/>
        <v>36.185359471460387</v>
      </c>
      <c r="Y188" s="314" t="str">
        <f t="shared" ca="1" si="80"/>
        <v/>
      </c>
      <c r="Z188" s="315" t="str">
        <f t="shared" ca="1" si="81"/>
        <v/>
      </c>
      <c r="AA188" s="316" t="str">
        <f t="shared" ca="1" si="82"/>
        <v/>
      </c>
      <c r="AC188" s="310" t="e">
        <f t="shared" ca="1" si="83"/>
        <v>#N/A</v>
      </c>
      <c r="AD188" s="323" t="e">
        <f t="shared" ca="1" si="84"/>
        <v>#N/A</v>
      </c>
      <c r="AE188" s="324">
        <f t="shared" ca="1" si="63"/>
        <v>103.89365089107352</v>
      </c>
      <c r="AG188" s="306">
        <f t="shared" ca="1" si="85"/>
        <v>57.258811288407529</v>
      </c>
      <c r="AH188" s="304">
        <f t="shared" ca="1" si="86"/>
        <v>66.825727233094014</v>
      </c>
    </row>
    <row r="189" spans="1:34" x14ac:dyDescent="0.25">
      <c r="A189" s="347">
        <f t="shared" ca="1" si="64"/>
        <v>0.01</v>
      </c>
      <c r="B189" s="304">
        <f t="shared" ca="1" si="65"/>
        <v>1.8500000000000014</v>
      </c>
      <c r="D189" s="306">
        <f t="shared" ca="1" si="66"/>
        <v>14.774812559879413</v>
      </c>
      <c r="E189" s="307">
        <f t="shared" ca="1" si="67"/>
        <v>55.261588533946139</v>
      </c>
      <c r="F189" s="304">
        <f t="shared" ca="1" si="68"/>
        <v>57.2026070513813</v>
      </c>
      <c r="G189" s="306">
        <f t="shared" ca="1" si="69"/>
        <v>25.462238192725</v>
      </c>
      <c r="H189" s="307">
        <f t="shared" ca="1" si="70"/>
        <v>112.04330823210904</v>
      </c>
      <c r="I189" s="304">
        <f t="shared" ca="1" si="71"/>
        <v>114.90008047594421</v>
      </c>
      <c r="J189" s="306">
        <f t="shared" ca="1" si="72"/>
        <v>22.166645260955875</v>
      </c>
      <c r="K189" s="307">
        <f t="shared" ca="1" si="73"/>
        <v>105.01132089396792</v>
      </c>
      <c r="L189" s="304">
        <f t="shared" ca="1" si="58"/>
        <v>107.32538226356783</v>
      </c>
      <c r="M189" s="306">
        <f t="shared" ca="1" si="74"/>
        <v>1.3473379726079302</v>
      </c>
      <c r="N189" s="304">
        <f t="shared" ca="1" si="75"/>
        <v>77.196779408147322</v>
      </c>
      <c r="P189" s="310">
        <f t="shared" ca="1" si="76"/>
        <v>7</v>
      </c>
      <c r="Q189" s="304">
        <f t="shared" ca="1" si="77"/>
        <v>927.2246753246751</v>
      </c>
      <c r="R189" s="306">
        <f t="shared" ca="1" si="78"/>
        <v>0.46447675295417423</v>
      </c>
      <c r="S189" s="307">
        <f t="shared" ca="1" si="79"/>
        <v>13.353333582911441</v>
      </c>
      <c r="T189" s="304">
        <f t="shared" ca="1" si="59"/>
        <v>130.99620244836123</v>
      </c>
      <c r="U189" s="311">
        <f t="shared" ca="1" si="60"/>
        <v>0</v>
      </c>
      <c r="V189" s="306">
        <f t="shared" ca="1" si="61"/>
        <v>1.2122033030927544</v>
      </c>
      <c r="W189" s="304">
        <f t="shared" ca="1" si="62"/>
        <v>36.544015926158991</v>
      </c>
      <c r="Y189" s="314" t="str">
        <f t="shared" ca="1" si="80"/>
        <v/>
      </c>
      <c r="Z189" s="315" t="str">
        <f t="shared" ca="1" si="81"/>
        <v/>
      </c>
      <c r="AA189" s="316" t="str">
        <f t="shared" ca="1" si="82"/>
        <v/>
      </c>
      <c r="AC189" s="310" t="e">
        <f t="shared" ca="1" si="83"/>
        <v>#N/A</v>
      </c>
      <c r="AD189" s="323" t="e">
        <f t="shared" ca="1" si="84"/>
        <v>#N/A</v>
      </c>
      <c r="AE189" s="324">
        <f t="shared" ca="1" si="63"/>
        <v>105.01132089396792</v>
      </c>
      <c r="AG189" s="306">
        <f t="shared" ca="1" si="85"/>
        <v>57.161351874236161</v>
      </c>
      <c r="AH189" s="304">
        <f t="shared" ca="1" si="86"/>
        <v>66.727855656470496</v>
      </c>
    </row>
    <row r="190" spans="1:34" x14ac:dyDescent="0.25">
      <c r="A190" s="347">
        <f t="shared" ca="1" si="64"/>
        <v>0.01</v>
      </c>
      <c r="B190" s="304">
        <f t="shared" ca="1" si="65"/>
        <v>1.8600000000000014</v>
      </c>
      <c r="D190" s="306">
        <f t="shared" ca="1" si="66"/>
        <v>14.765384789753439</v>
      </c>
      <c r="E190" s="307">
        <f t="shared" ca="1" si="67"/>
        <v>55.163178973587605</v>
      </c>
      <c r="F190" s="304">
        <f t="shared" ca="1" si="68"/>
        <v>57.105103996591581</v>
      </c>
      <c r="G190" s="306">
        <f t="shared" ca="1" si="69"/>
        <v>25.609892040622533</v>
      </c>
      <c r="H190" s="307">
        <f t="shared" ca="1" si="70"/>
        <v>112.59494002184492</v>
      </c>
      <c r="I190" s="304">
        <f t="shared" ca="1" si="71"/>
        <v>115.4707196169453</v>
      </c>
      <c r="J190" s="306">
        <f t="shared" ca="1" si="72"/>
        <v>22.422005912122611</v>
      </c>
      <c r="K190" s="307">
        <f t="shared" ca="1" si="73"/>
        <v>106.13451213523769</v>
      </c>
      <c r="L190" s="304">
        <f t="shared" ca="1" si="58"/>
        <v>108.47709903619371</v>
      </c>
      <c r="M190" s="306">
        <f t="shared" ca="1" si="74"/>
        <v>1.3471497059638349</v>
      </c>
      <c r="N190" s="304">
        <f t="shared" ca="1" si="75"/>
        <v>77.185992524017564</v>
      </c>
      <c r="P190" s="310">
        <f t="shared" ca="1" si="76"/>
        <v>7</v>
      </c>
      <c r="Q190" s="304">
        <f t="shared" ca="1" si="77"/>
        <v>925.96493506493482</v>
      </c>
      <c r="R190" s="306">
        <f t="shared" ca="1" si="78"/>
        <v>0.46384570841774092</v>
      </c>
      <c r="S190" s="307">
        <f t="shared" ca="1" si="79"/>
        <v>13.348695125827264</v>
      </c>
      <c r="T190" s="304">
        <f t="shared" ca="1" si="59"/>
        <v>130.95069918436548</v>
      </c>
      <c r="U190" s="311">
        <f t="shared" ca="1" si="60"/>
        <v>0</v>
      </c>
      <c r="V190" s="306">
        <f t="shared" ca="1" si="61"/>
        <v>1.2120671533320146</v>
      </c>
      <c r="W190" s="304">
        <f t="shared" ca="1" si="62"/>
        <v>36.903755949072909</v>
      </c>
      <c r="Y190" s="314" t="str">
        <f t="shared" ca="1" si="80"/>
        <v/>
      </c>
      <c r="Z190" s="315" t="str">
        <f t="shared" ca="1" si="81"/>
        <v/>
      </c>
      <c r="AA190" s="316" t="str">
        <f t="shared" ca="1" si="82"/>
        <v/>
      </c>
      <c r="AC190" s="310" t="e">
        <f t="shared" ca="1" si="83"/>
        <v>#N/A</v>
      </c>
      <c r="AD190" s="323" t="e">
        <f t="shared" ca="1" si="84"/>
        <v>#N/A</v>
      </c>
      <c r="AE190" s="324">
        <f t="shared" ca="1" si="63"/>
        <v>106.13451213523769</v>
      </c>
      <c r="AG190" s="306">
        <f t="shared" ca="1" si="85"/>
        <v>57.063709460998375</v>
      </c>
      <c r="AH190" s="304">
        <f t="shared" ca="1" si="86"/>
        <v>66.629802445477267</v>
      </c>
    </row>
    <row r="191" spans="1:34" x14ac:dyDescent="0.25">
      <c r="A191" s="347">
        <f t="shared" ca="1" si="64"/>
        <v>0.01</v>
      </c>
      <c r="B191" s="304">
        <f t="shared" ca="1" si="65"/>
        <v>1.8700000000000014</v>
      </c>
      <c r="D191" s="306">
        <f t="shared" ca="1" si="66"/>
        <v>14.755829787087611</v>
      </c>
      <c r="E191" s="307">
        <f t="shared" ca="1" si="67"/>
        <v>55.064610451864127</v>
      </c>
      <c r="F191" s="304">
        <f t="shared" ca="1" si="68"/>
        <v>57.007419139275598</v>
      </c>
      <c r="G191" s="306">
        <f t="shared" ca="1" si="69"/>
        <v>25.75745033849341</v>
      </c>
      <c r="H191" s="307">
        <f t="shared" ca="1" si="70"/>
        <v>113.14558612636355</v>
      </c>
      <c r="I191" s="304">
        <f t="shared" ca="1" si="71"/>
        <v>116.04038050531507</v>
      </c>
      <c r="J191" s="306">
        <f t="shared" ca="1" si="72"/>
        <v>22.678842624018191</v>
      </c>
      <c r="K191" s="307">
        <f t="shared" ca="1" si="73"/>
        <v>107.26321476597873</v>
      </c>
      <c r="L191" s="304">
        <f t="shared" ca="1" si="58"/>
        <v>109.63451621044106</v>
      </c>
      <c r="M191" s="306">
        <f t="shared" ca="1" si="74"/>
        <v>1.3469622083517558</v>
      </c>
      <c r="N191" s="304">
        <f t="shared" ca="1" si="75"/>
        <v>77.175249702176657</v>
      </c>
      <c r="P191" s="310">
        <f t="shared" ca="1" si="76"/>
        <v>7</v>
      </c>
      <c r="Q191" s="304">
        <f t="shared" ca="1" si="77"/>
        <v>924.70519480519454</v>
      </c>
      <c r="R191" s="306">
        <f t="shared" ca="1" si="78"/>
        <v>0.46321466388130755</v>
      </c>
      <c r="S191" s="307">
        <f t="shared" ca="1" si="79"/>
        <v>13.34406297918845</v>
      </c>
      <c r="T191" s="304">
        <f t="shared" ca="1" si="59"/>
        <v>130.9052578258387</v>
      </c>
      <c r="U191" s="311">
        <f t="shared" ca="1" si="60"/>
        <v>0</v>
      </c>
      <c r="V191" s="306">
        <f t="shared" ca="1" si="61"/>
        <v>1.2119303508205104</v>
      </c>
      <c r="W191" s="304">
        <f t="shared" ca="1" si="62"/>
        <v>37.264568173446278</v>
      </c>
      <c r="Y191" s="314" t="str">
        <f t="shared" ca="1" si="80"/>
        <v/>
      </c>
      <c r="Z191" s="315" t="str">
        <f t="shared" ca="1" si="81"/>
        <v/>
      </c>
      <c r="AA191" s="316" t="str">
        <f t="shared" ca="1" si="82"/>
        <v/>
      </c>
      <c r="AC191" s="310" t="e">
        <f t="shared" ca="1" si="83"/>
        <v>#N/A</v>
      </c>
      <c r="AD191" s="323" t="e">
        <f t="shared" ca="1" si="84"/>
        <v>#N/A</v>
      </c>
      <c r="AE191" s="324">
        <f t="shared" ca="1" si="63"/>
        <v>107.26321476597873</v>
      </c>
      <c r="AG191" s="306">
        <f t="shared" ca="1" si="85"/>
        <v>56.965884864942936</v>
      </c>
      <c r="AH191" s="304">
        <f t="shared" ca="1" si="86"/>
        <v>66.531568401673965</v>
      </c>
    </row>
    <row r="192" spans="1:34" x14ac:dyDescent="0.25">
      <c r="A192" s="347">
        <f t="shared" ca="1" si="64"/>
        <v>0.01</v>
      </c>
      <c r="B192" s="304">
        <f t="shared" ca="1" si="65"/>
        <v>1.8800000000000014</v>
      </c>
      <c r="D192" s="306">
        <f t="shared" ca="1" si="66"/>
        <v>14.746148418221464</v>
      </c>
      <c r="E192" s="307">
        <f t="shared" ca="1" si="67"/>
        <v>54.965883635989087</v>
      </c>
      <c r="F192" s="304">
        <f t="shared" ca="1" si="68"/>
        <v>56.909553302211997</v>
      </c>
      <c r="G192" s="306">
        <f t="shared" ca="1" si="69"/>
        <v>25.904911822675626</v>
      </c>
      <c r="H192" s="307">
        <f t="shared" ca="1" si="70"/>
        <v>113.69524496272345</v>
      </c>
      <c r="I192" s="304">
        <f t="shared" ca="1" si="71"/>
        <v>116.60906132747272</v>
      </c>
      <c r="J192" s="306">
        <f t="shared" ca="1" si="72"/>
        <v>22.937154434824038</v>
      </c>
      <c r="K192" s="307">
        <f t="shared" ca="1" si="73"/>
        <v>108.39741892142416</v>
      </c>
      <c r="L192" s="304">
        <f t="shared" ca="1" si="58"/>
        <v>110.79762399254639</v>
      </c>
      <c r="M192" s="306">
        <f t="shared" ca="1" si="74"/>
        <v>1.3467754713259508</v>
      </c>
      <c r="N192" s="304">
        <f t="shared" ca="1" si="75"/>
        <v>77.164550458719205</v>
      </c>
      <c r="P192" s="310">
        <f t="shared" ca="1" si="76"/>
        <v>7</v>
      </c>
      <c r="Q192" s="304">
        <f t="shared" ca="1" si="77"/>
        <v>923.44545454545437</v>
      </c>
      <c r="R192" s="306">
        <f t="shared" ca="1" si="78"/>
        <v>0.4625836193448743</v>
      </c>
      <c r="S192" s="307">
        <f t="shared" ca="1" si="79"/>
        <v>13.339437142995001</v>
      </c>
      <c r="T192" s="304">
        <f t="shared" ca="1" si="59"/>
        <v>130.85987837278097</v>
      </c>
      <c r="U192" s="311">
        <f t="shared" ca="1" si="60"/>
        <v>0</v>
      </c>
      <c r="V192" s="306">
        <f t="shared" ca="1" si="61"/>
        <v>1.2117928969760867</v>
      </c>
      <c r="W192" s="304">
        <f t="shared" ca="1" si="62"/>
        <v>37.626441233372098</v>
      </c>
      <c r="Y192" s="314" t="str">
        <f t="shared" ca="1" si="80"/>
        <v/>
      </c>
      <c r="Z192" s="315" t="str">
        <f t="shared" ca="1" si="81"/>
        <v/>
      </c>
      <c r="AA192" s="316" t="str">
        <f t="shared" ca="1" si="82"/>
        <v/>
      </c>
      <c r="AC192" s="310" t="e">
        <f t="shared" ca="1" si="83"/>
        <v>#N/A</v>
      </c>
      <c r="AD192" s="323" t="e">
        <f t="shared" ca="1" si="84"/>
        <v>#N/A</v>
      </c>
      <c r="AE192" s="324">
        <f t="shared" ca="1" si="63"/>
        <v>108.39741892142416</v>
      </c>
      <c r="AG192" s="306">
        <f t="shared" ca="1" si="85"/>
        <v>56.867878903685728</v>
      </c>
      <c r="AH192" s="304">
        <f t="shared" ca="1" si="86"/>
        <v>66.433154328207337</v>
      </c>
    </row>
    <row r="193" spans="1:34" x14ac:dyDescent="0.25">
      <c r="A193" s="347">
        <f t="shared" ca="1" si="64"/>
        <v>0.01</v>
      </c>
      <c r="B193" s="304">
        <f t="shared" ca="1" si="65"/>
        <v>1.8900000000000015</v>
      </c>
      <c r="D193" s="306">
        <f t="shared" ca="1" si="66"/>
        <v>14.736341539074497</v>
      </c>
      <c r="E193" s="307">
        <f t="shared" ca="1" si="67"/>
        <v>54.86699919645514</v>
      </c>
      <c r="F193" s="304">
        <f t="shared" ca="1" si="68"/>
        <v>56.81150730952367</v>
      </c>
      <c r="G193" s="306">
        <f t="shared" ca="1" si="69"/>
        <v>26.052275238066372</v>
      </c>
      <c r="H193" s="307">
        <f t="shared" ca="1" si="70"/>
        <v>114.24391495468799</v>
      </c>
      <c r="I193" s="304">
        <f t="shared" ca="1" si="71"/>
        <v>117.17676027802591</v>
      </c>
      <c r="J193" s="306">
        <f t="shared" ca="1" si="72"/>
        <v>23.196940370127749</v>
      </c>
      <c r="K193" s="307">
        <f t="shared" ca="1" si="73"/>
        <v>109.53711472101122</v>
      </c>
      <c r="L193" s="304">
        <f t="shared" ca="1" si="58"/>
        <v>111.96641257064208</v>
      </c>
      <c r="M193" s="306">
        <f t="shared" ca="1" si="74"/>
        <v>1.3465894865728933</v>
      </c>
      <c r="N193" s="304">
        <f t="shared" ca="1" si="75"/>
        <v>77.153894317315221</v>
      </c>
      <c r="P193" s="310">
        <f t="shared" ca="1" si="76"/>
        <v>7</v>
      </c>
      <c r="Q193" s="304">
        <f t="shared" ca="1" si="77"/>
        <v>922.18571428571408</v>
      </c>
      <c r="R193" s="306">
        <f t="shared" ca="1" si="78"/>
        <v>0.46195257480844093</v>
      </c>
      <c r="S193" s="307">
        <f t="shared" ca="1" si="79"/>
        <v>13.334817617246916</v>
      </c>
      <c r="T193" s="304">
        <f t="shared" ca="1" si="59"/>
        <v>130.81456082519225</v>
      </c>
      <c r="U193" s="311">
        <f t="shared" ca="1" si="60"/>
        <v>0</v>
      </c>
      <c r="V193" s="306">
        <f t="shared" ca="1" si="61"/>
        <v>1.2116547932189836</v>
      </c>
      <c r="W193" s="304">
        <f t="shared" ca="1" si="62"/>
        <v>37.989363764101853</v>
      </c>
      <c r="Y193" s="314" t="str">
        <f t="shared" ca="1" si="80"/>
        <v/>
      </c>
      <c r="Z193" s="315" t="str">
        <f t="shared" ca="1" si="81"/>
        <v/>
      </c>
      <c r="AA193" s="316" t="str">
        <f t="shared" ca="1" si="82"/>
        <v/>
      </c>
      <c r="AC193" s="310" t="e">
        <f t="shared" ca="1" si="83"/>
        <v>#N/A</v>
      </c>
      <c r="AD193" s="323" t="e">
        <f t="shared" ca="1" si="84"/>
        <v>#N/A</v>
      </c>
      <c r="AE193" s="324">
        <f t="shared" ca="1" si="63"/>
        <v>109.53711472101122</v>
      </c>
      <c r="AG193" s="306">
        <f t="shared" ca="1" si="85"/>
        <v>56.769692396189946</v>
      </c>
      <c r="AH193" s="304">
        <f t="shared" ca="1" si="86"/>
        <v>66.334561029786812</v>
      </c>
    </row>
    <row r="194" spans="1:34" x14ac:dyDescent="0.25">
      <c r="A194" s="347">
        <f t="shared" ca="1" si="64"/>
        <v>0.01</v>
      </c>
      <c r="B194" s="304">
        <f t="shared" ca="1" si="65"/>
        <v>1.9000000000000015</v>
      </c>
      <c r="D194" s="306">
        <f t="shared" ca="1" si="66"/>
        <v>14.726409995375153</v>
      </c>
      <c r="E194" s="307">
        <f t="shared" ca="1" si="67"/>
        <v>54.767957806973357</v>
      </c>
      <c r="F194" s="304">
        <f t="shared" ca="1" si="68"/>
        <v>56.713281986658991</v>
      </c>
      <c r="G194" s="306">
        <f t="shared" ca="1" si="69"/>
        <v>26.199539338020124</v>
      </c>
      <c r="H194" s="307">
        <f t="shared" ca="1" si="70"/>
        <v>114.79159453275773</v>
      </c>
      <c r="I194" s="304">
        <f t="shared" ca="1" si="71"/>
        <v>117.74347555978427</v>
      </c>
      <c r="J194" s="306">
        <f t="shared" ca="1" si="72"/>
        <v>23.45819944300818</v>
      </c>
      <c r="K194" s="307">
        <f t="shared" ca="1" si="73"/>
        <v>110.68229226844845</v>
      </c>
      <c r="L194" s="304">
        <f t="shared" ca="1" si="58"/>
        <v>113.14087211483829</v>
      </c>
      <c r="M194" s="306">
        <f t="shared" ca="1" si="74"/>
        <v>1.3464042459084737</v>
      </c>
      <c r="N194" s="304">
        <f t="shared" ca="1" si="75"/>
        <v>77.143280809049784</v>
      </c>
      <c r="P194" s="310">
        <f t="shared" ca="1" si="76"/>
        <v>7</v>
      </c>
      <c r="Q194" s="304">
        <f t="shared" ca="1" si="77"/>
        <v>920.9259740259738</v>
      </c>
      <c r="R194" s="306">
        <f t="shared" ca="1" si="78"/>
        <v>0.46132153027200762</v>
      </c>
      <c r="S194" s="307">
        <f t="shared" ca="1" si="79"/>
        <v>13.330204401944195</v>
      </c>
      <c r="T194" s="304">
        <f t="shared" ca="1" si="59"/>
        <v>130.76930518307256</v>
      </c>
      <c r="U194" s="311">
        <f t="shared" ca="1" si="60"/>
        <v>0</v>
      </c>
      <c r="V194" s="306">
        <f t="shared" ca="1" si="61"/>
        <v>1.21151604097182</v>
      </c>
      <c r="W194" s="304">
        <f t="shared" ca="1" si="62"/>
        <v>38.353324402354673</v>
      </c>
      <c r="Y194" s="314" t="str">
        <f t="shared" ca="1" si="80"/>
        <v/>
      </c>
      <c r="Z194" s="315" t="str">
        <f t="shared" ca="1" si="81"/>
        <v/>
      </c>
      <c r="AA194" s="316" t="str">
        <f t="shared" ca="1" si="82"/>
        <v/>
      </c>
      <c r="AC194" s="310" t="e">
        <f t="shared" ca="1" si="83"/>
        <v>#N/A</v>
      </c>
      <c r="AD194" s="323" t="e">
        <f t="shared" ca="1" si="84"/>
        <v>#N/A</v>
      </c>
      <c r="AE194" s="324">
        <f t="shared" ca="1" si="63"/>
        <v>110.68229226844845</v>
      </c>
      <c r="AG194" s="306">
        <f t="shared" ca="1" si="85"/>
        <v>56.671326162746212</v>
      </c>
      <c r="AH194" s="304">
        <f t="shared" ca="1" si="86"/>
        <v>66.235789312660245</v>
      </c>
    </row>
    <row r="195" spans="1:34" x14ac:dyDescent="0.25">
      <c r="A195" s="347">
        <f t="shared" ca="1" si="64"/>
        <v>0.01</v>
      </c>
      <c r="B195" s="304">
        <f t="shared" ca="1" si="65"/>
        <v>1.9100000000000015</v>
      </c>
      <c r="D195" s="306">
        <f t="shared" ca="1" si="66"/>
        <v>14.716354622883438</v>
      </c>
      <c r="E195" s="307">
        <f t="shared" ca="1" si="67"/>
        <v>54.668760144412943</v>
      </c>
      <c r="F195" s="304">
        <f t="shared" ca="1" si="68"/>
        <v>56.614878160372434</v>
      </c>
      <c r="G195" s="306">
        <f t="shared" ca="1" si="69"/>
        <v>26.346702884248959</v>
      </c>
      <c r="H195" s="307">
        <f t="shared" ca="1" si="70"/>
        <v>115.33828213420186</v>
      </c>
      <c r="I195" s="304">
        <f t="shared" ca="1" si="71"/>
        <v>118.30920538377241</v>
      </c>
      <c r="J195" s="306">
        <f t="shared" ca="1" si="72"/>
        <v>23.720930654119524</v>
      </c>
      <c r="K195" s="307">
        <f t="shared" ca="1" si="73"/>
        <v>111.83294165178324</v>
      </c>
      <c r="L195" s="304">
        <f t="shared" ca="1" si="58"/>
        <v>114.32099277730535</v>
      </c>
      <c r="M195" s="306">
        <f t="shared" ca="1" si="74"/>
        <v>1.3462197412752726</v>
      </c>
      <c r="N195" s="304">
        <f t="shared" ca="1" si="75"/>
        <v>77.13270947226674</v>
      </c>
      <c r="P195" s="310">
        <f t="shared" ca="1" si="76"/>
        <v>7</v>
      </c>
      <c r="Q195" s="304">
        <f t="shared" ca="1" si="77"/>
        <v>919.66623376623352</v>
      </c>
      <c r="R195" s="306">
        <f t="shared" ca="1" si="78"/>
        <v>0.46069048573557425</v>
      </c>
      <c r="S195" s="307">
        <f t="shared" ca="1" si="79"/>
        <v>13.325597497086839</v>
      </c>
      <c r="T195" s="304">
        <f t="shared" ca="1" si="59"/>
        <v>130.72411144642192</v>
      </c>
      <c r="U195" s="311">
        <f t="shared" ca="1" si="60"/>
        <v>0</v>
      </c>
      <c r="V195" s="306">
        <f t="shared" ca="1" si="61"/>
        <v>1.2113766416595757</v>
      </c>
      <c r="W195" s="304">
        <f t="shared" ca="1" si="62"/>
        <v>38.718311786625506</v>
      </c>
      <c r="Y195" s="314" t="str">
        <f t="shared" ca="1" si="80"/>
        <v/>
      </c>
      <c r="Z195" s="315" t="str">
        <f t="shared" ca="1" si="81"/>
        <v/>
      </c>
      <c r="AA195" s="316" t="str">
        <f t="shared" ca="1" si="82"/>
        <v/>
      </c>
      <c r="AC195" s="310" t="e">
        <f t="shared" ca="1" si="83"/>
        <v>#N/A</v>
      </c>
      <c r="AD195" s="323" t="e">
        <f t="shared" ca="1" si="84"/>
        <v>#N/A</v>
      </c>
      <c r="AE195" s="324">
        <f t="shared" ca="1" si="63"/>
        <v>111.83294165178324</v>
      </c>
      <c r="AG195" s="306">
        <f t="shared" ca="1" si="85"/>
        <v>56.572781024952526</v>
      </c>
      <c r="AH195" s="304">
        <f t="shared" ca="1" si="86"/>
        <v>66.136839984589514</v>
      </c>
    </row>
    <row r="196" spans="1:34" x14ac:dyDescent="0.25">
      <c r="A196" s="347">
        <f t="shared" ca="1" si="64"/>
        <v>0.01</v>
      </c>
      <c r="B196" s="304">
        <f t="shared" ca="1" si="65"/>
        <v>1.9200000000000015</v>
      </c>
      <c r="D196" s="306">
        <f t="shared" ca="1" si="66"/>
        <v>14.706176247607548</v>
      </c>
      <c r="E196" s="307">
        <f t="shared" ca="1" si="67"/>
        <v>54.569406888742066</v>
      </c>
      <c r="F196" s="304">
        <f t="shared" ca="1" si="68"/>
        <v>56.516296658705322</v>
      </c>
      <c r="G196" s="306">
        <f t="shared" ca="1" si="69"/>
        <v>26.493764646725033</v>
      </c>
      <c r="H196" s="307">
        <f t="shared" ca="1" si="70"/>
        <v>115.88397620308928</v>
      </c>
      <c r="I196" s="304">
        <f t="shared" ca="1" si="71"/>
        <v>118.87394796924269</v>
      </c>
      <c r="J196" s="306">
        <f t="shared" ca="1" si="72"/>
        <v>23.985132991774393</v>
      </c>
      <c r="K196" s="307">
        <f t="shared" ca="1" si="73"/>
        <v>112.9890529434697</v>
      </c>
      <c r="L196" s="304">
        <f t="shared" ref="L196:L259" ca="1" si="87">SQRT(pos_x^2+pos_z^2)</f>
        <v>115.50676469235601</v>
      </c>
      <c r="M196" s="306">
        <f t="shared" ca="1" si="74"/>
        <v>1.3460359647399067</v>
      </c>
      <c r="N196" s="304">
        <f t="shared" ca="1" si="75"/>
        <v>77.12217985241675</v>
      </c>
      <c r="P196" s="310">
        <f t="shared" ca="1" si="76"/>
        <v>7</v>
      </c>
      <c r="Q196" s="304">
        <f t="shared" ca="1" si="77"/>
        <v>918.40649350649323</v>
      </c>
      <c r="R196" s="306">
        <f t="shared" ca="1" si="78"/>
        <v>0.46005944119914094</v>
      </c>
      <c r="S196" s="307">
        <f t="shared" ca="1" si="79"/>
        <v>13.320996902674848</v>
      </c>
      <c r="T196" s="304">
        <f t="shared" ref="T196:T259" ca="1" si="88">m*g</f>
        <v>130.67897961524025</v>
      </c>
      <c r="U196" s="311">
        <f t="shared" ref="U196:U259" ca="1" si="89">IF(pos_xz&lt;L_rampe,Poids*COS(Beta),0)</f>
        <v>0</v>
      </c>
      <c r="V196" s="306">
        <f t="shared" ref="V196:V259" ca="1" si="90">Rho_moyen*(20000-Alt_rampe-pos_z)/(20000+Alt_rampe+pos_z)</f>
        <v>1.2112365967095782</v>
      </c>
      <c r="W196" s="304">
        <f t="shared" ref="W196:W259" ca="1" si="91">1/2*Rho*Sref*Cx*vit_xz^2</f>
        <v>39.084314557492661</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112.9890529434697</v>
      </c>
      <c r="AG196" s="306">
        <f t="shared" ca="1" si="85"/>
        <v>56.474057805694166</v>
      </c>
      <c r="AH196" s="304">
        <f t="shared" ca="1" si="86"/>
        <v>66.037713854826208</v>
      </c>
    </row>
    <row r="197" spans="1:34" x14ac:dyDescent="0.25">
      <c r="A197" s="347">
        <f t="shared" ref="A197:A260" ca="1" si="93">IF(B196+0.01&lt;=T_ini+ROUNDUP(Temps_fin_propu,0), 0.01, IF(K196&gt;0, 0.1, 0.0001))</f>
        <v>0.01</v>
      </c>
      <c r="B197" s="304">
        <f t="shared" ref="B197:B260" ca="1" si="94">B196+pas</f>
        <v>1.9300000000000015</v>
      </c>
      <c r="D197" s="306">
        <f t="shared" ref="D197:D260" ca="1" si="95">IF(AND(L196&lt;L_rampe,Poussee&lt;Poids*SIN(M196)),0,(-W196+Poussee)/m*COS(M196)-U196/m*SIN(M196))</f>
        <v>14.695875686014611</v>
      </c>
      <c r="E197" s="307">
        <f t="shared" ref="E197:E260" ca="1" si="96">IF(AND(L196&lt;L_rampe,Poussee&lt;Poids*SIN(M196)),0,(-W196+Poussee)/m*SIN(M196)+U196/m*COS(M196)-Poids/m)</f>
        <v>54.469898722969518</v>
      </c>
      <c r="F197" s="304">
        <f t="shared" ref="F197:F260" ca="1" si="97">SQRT(acc_x^2+acc_z^2)</f>
        <v>56.417538310966314</v>
      </c>
      <c r="G197" s="306">
        <f t="shared" ref="G197:G260" ca="1" si="98">G196+acc_x*pas</f>
        <v>26.640723403585181</v>
      </c>
      <c r="H197" s="307">
        <f t="shared" ref="H197:H260" ca="1" si="99">H196+acc_z*pas</f>
        <v>116.42867519031897</v>
      </c>
      <c r="I197" s="304">
        <f t="shared" ref="I197:I260" ca="1" si="100">SQRT(vit_x^2+vit_z^2)</f>
        <v>119.43770154368815</v>
      </c>
      <c r="J197" s="306">
        <f t="shared" ref="J197:J260" ca="1" si="101">J196+0.5*(vit_x+G196)*pas*(K196&gt;=0)</f>
        <v>24.250805432025942</v>
      </c>
      <c r="K197" s="307">
        <f t="shared" ref="K197:K260" ca="1" si="102">K196+0.5*(vit_z+H196)*pas</f>
        <v>114.15061620043674</v>
      </c>
      <c r="L197" s="304">
        <f t="shared" ca="1" si="87"/>
        <v>116.69817797652793</v>
      </c>
      <c r="M197" s="306">
        <f t="shared" ref="M197:M260" ca="1" si="103">IF(AND(L196&gt;L_rampe,G197&gt;0),ATAN2(G197,H197),$M$4)</f>
        <v>1.3458529084904451</v>
      </c>
      <c r="N197" s="304">
        <f t="shared" ref="N197:N260" ca="1" si="104">DEGREES(Beta)</f>
        <v>77.111691501909107</v>
      </c>
      <c r="P197" s="310">
        <f t="shared" ref="P197:P260" ca="1" si="105">MATCH(t-pas/2-T_ini,CdP_t)</f>
        <v>7</v>
      </c>
      <c r="Q197" s="304">
        <f t="shared" ref="Q197:Q260" ca="1" si="106">(INDEX(CdP,2,i_P+1)-INDEX(CdP,2,i_P+0))/(INDEX(CdP,1,i_P+1)-INDEX(CdP,1,i_P+0))*(t-pas/2-T_ini-INDEX(CdP,1,i_P+0))+INDEX(CdP,2,i_P+0)</f>
        <v>917.14675324675295</v>
      </c>
      <c r="R197" s="306">
        <f t="shared" ref="R197:R260" ca="1" si="107">Poussee/(g*ISP)</f>
        <v>0.45942839666270757</v>
      </c>
      <c r="S197" s="307">
        <f t="shared" ref="S197:S260" ca="1" si="108">S196-Débit*pas</f>
        <v>13.316402618708221</v>
      </c>
      <c r="T197" s="304">
        <f t="shared" ca="1" si="88"/>
        <v>130.63390968952766</v>
      </c>
      <c r="U197" s="311">
        <f t="shared" ca="1" si="89"/>
        <v>0</v>
      </c>
      <c r="V197" s="306">
        <f t="shared" ca="1" si="90"/>
        <v>1.2110959075514818</v>
      </c>
      <c r="W197" s="304">
        <f t="shared" ca="1" si="91"/>
        <v>39.451321357924463</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114.15061620043674</v>
      </c>
      <c r="AG197" s="306">
        <f t="shared" ref="AG197:AG260" ca="1" si="114">IF(AND(L196&lt;L_rampe,Poussee&lt;Poids*SIN(M196)),0,(-W196+Poussee)/m-Poids*SIN(M196)/m)</f>
        <v>56.375157329123368</v>
      </c>
      <c r="AH197" s="304">
        <f t="shared" ref="AH197:AH260" ca="1" si="115">IF(AND(L196&lt;L_rampe,Poussee&lt;Poids*SIN(M196)), g*SIN(M196), (-W196+Poussee)/m)</f>
        <v>65.938411734087239</v>
      </c>
    </row>
    <row r="198" spans="1:34" x14ac:dyDescent="0.25">
      <c r="A198" s="347">
        <f t="shared" ca="1" si="93"/>
        <v>0.01</v>
      </c>
      <c r="B198" s="304">
        <f t="shared" ca="1" si="94"/>
        <v>1.9400000000000015</v>
      </c>
      <c r="D198" s="306">
        <f t="shared" ca="1" si="95"/>
        <v>14.685453745235789</v>
      </c>
      <c r="E198" s="307">
        <f t="shared" ca="1" si="96"/>
        <v>54.370236333087462</v>
      </c>
      <c r="F198" s="304">
        <f t="shared" ca="1" si="97"/>
        <v>56.31860394771202</v>
      </c>
      <c r="G198" s="306">
        <f t="shared" ca="1" si="98"/>
        <v>26.78757794103754</v>
      </c>
      <c r="H198" s="307">
        <f t="shared" ca="1" si="99"/>
        <v>116.97237755364985</v>
      </c>
      <c r="I198" s="304">
        <f t="shared" ca="1" si="100"/>
        <v>120.0004643428548</v>
      </c>
      <c r="J198" s="306">
        <f t="shared" ca="1" si="101"/>
        <v>24.517946938749056</v>
      </c>
      <c r="K198" s="307">
        <f t="shared" ca="1" si="102"/>
        <v>115.31762146415659</v>
      </c>
      <c r="L198" s="304">
        <f t="shared" ca="1" si="87"/>
        <v>117.89522272866625</v>
      </c>
      <c r="M198" s="306">
        <f t="shared" ca="1" si="103"/>
        <v>1.3456705648338911</v>
      </c>
      <c r="N198" s="304">
        <f t="shared" ca="1" si="104"/>
        <v>77.101243979967578</v>
      </c>
      <c r="P198" s="310">
        <f t="shared" ca="1" si="105"/>
        <v>7</v>
      </c>
      <c r="Q198" s="304">
        <f t="shared" ca="1" si="106"/>
        <v>915.88701298701278</v>
      </c>
      <c r="R198" s="306">
        <f t="shared" ca="1" si="107"/>
        <v>0.45879735212627432</v>
      </c>
      <c r="S198" s="307">
        <f t="shared" ca="1" si="108"/>
        <v>13.311814645186958</v>
      </c>
      <c r="T198" s="304">
        <f t="shared" ca="1" si="88"/>
        <v>130.58890166928407</v>
      </c>
      <c r="U198" s="311">
        <f t="shared" ca="1" si="89"/>
        <v>0</v>
      </c>
      <c r="V198" s="306">
        <f t="shared" ca="1" si="90"/>
        <v>1.2109545756172544</v>
      </c>
      <c r="W198" s="304">
        <f t="shared" ca="1" si="91"/>
        <v>39.819320833585188</v>
      </c>
      <c r="Y198" s="314" t="str">
        <f t="shared" ca="1" si="109"/>
        <v/>
      </c>
      <c r="Z198" s="315" t="str">
        <f t="shared" ca="1" si="110"/>
        <v/>
      </c>
      <c r="AA198" s="316" t="str">
        <f t="shared" ca="1" si="111"/>
        <v/>
      </c>
      <c r="AC198" s="310" t="e">
        <f t="shared" ca="1" si="112"/>
        <v>#N/A</v>
      </c>
      <c r="AD198" s="323" t="e">
        <f t="shared" ca="1" si="113"/>
        <v>#N/A</v>
      </c>
      <c r="AE198" s="324">
        <f t="shared" ca="1" si="92"/>
        <v>115.31762146415659</v>
      </c>
      <c r="AG198" s="306">
        <f t="shared" ca="1" si="114"/>
        <v>56.276080420639133</v>
      </c>
      <c r="AH198" s="304">
        <f t="shared" ca="1" si="115"/>
        <v>65.8389344345306</v>
      </c>
    </row>
    <row r="199" spans="1:34" x14ac:dyDescent="0.25">
      <c r="A199" s="347">
        <f t="shared" ca="1" si="93"/>
        <v>0.01</v>
      </c>
      <c r="B199" s="304">
        <f t="shared" ca="1" si="94"/>
        <v>1.9500000000000015</v>
      </c>
      <c r="D199" s="306">
        <f t="shared" ca="1" si="95"/>
        <v>14.67491122326582</v>
      </c>
      <c r="E199" s="307">
        <f t="shared" ca="1" si="96"/>
        <v>54.270420408014601</v>
      </c>
      <c r="F199" s="304">
        <f t="shared" ca="1" si="97"/>
        <v>56.219494400727058</v>
      </c>
      <c r="G199" s="306">
        <f t="shared" ca="1" si="98"/>
        <v>26.934327053270199</v>
      </c>
      <c r="H199" s="307">
        <f t="shared" ca="1" si="99"/>
        <v>117.51508175773</v>
      </c>
      <c r="I199" s="304">
        <f t="shared" ca="1" si="100"/>
        <v>120.562234610754</v>
      </c>
      <c r="J199" s="306">
        <f t="shared" ca="1" si="101"/>
        <v>24.786556463720594</v>
      </c>
      <c r="K199" s="307">
        <f t="shared" ca="1" si="102"/>
        <v>116.49005876071348</v>
      </c>
      <c r="L199" s="304">
        <f t="shared" ca="1" si="87"/>
        <v>119.09788903000627</v>
      </c>
      <c r="M199" s="306">
        <f t="shared" ca="1" si="103"/>
        <v>1.3454889261937304</v>
      </c>
      <c r="N199" s="304">
        <f t="shared" ca="1" si="104"/>
        <v>77.090836852489872</v>
      </c>
      <c r="P199" s="310">
        <f t="shared" ca="1" si="105"/>
        <v>7</v>
      </c>
      <c r="Q199" s="304">
        <f t="shared" ca="1" si="106"/>
        <v>914.6272727272725</v>
      </c>
      <c r="R199" s="306">
        <f t="shared" ca="1" si="107"/>
        <v>0.45816630758984095</v>
      </c>
      <c r="S199" s="307">
        <f t="shared" ca="1" si="108"/>
        <v>13.30723298211106</v>
      </c>
      <c r="T199" s="304">
        <f t="shared" ca="1" si="88"/>
        <v>130.54395555450949</v>
      </c>
      <c r="U199" s="311">
        <f t="shared" ca="1" si="89"/>
        <v>0</v>
      </c>
      <c r="V199" s="306">
        <f t="shared" ca="1" si="90"/>
        <v>1.2108126023411601</v>
      </c>
      <c r="W199" s="304">
        <f t="shared" ca="1" si="91"/>
        <v>40.188301633140192</v>
      </c>
      <c r="Y199" s="314" t="str">
        <f t="shared" ca="1" si="109"/>
        <v/>
      </c>
      <c r="Z199" s="315" t="str">
        <f t="shared" ca="1" si="110"/>
        <v/>
      </c>
      <c r="AA199" s="316" t="str">
        <f t="shared" ca="1" si="111"/>
        <v/>
      </c>
      <c r="AC199" s="310" t="e">
        <f t="shared" ca="1" si="112"/>
        <v>#N/A</v>
      </c>
      <c r="AD199" s="323" t="e">
        <f t="shared" ca="1" si="113"/>
        <v>#N/A</v>
      </c>
      <c r="AE199" s="324">
        <f t="shared" ca="1" si="92"/>
        <v>116.49005876071348</v>
      </c>
      <c r="AG199" s="306">
        <f t="shared" ca="1" si="114"/>
        <v>56.176827906866528</v>
      </c>
      <c r="AH199" s="304">
        <f t="shared" ca="1" si="115"/>
        <v>65.739282769730821</v>
      </c>
    </row>
    <row r="200" spans="1:34" x14ac:dyDescent="0.25">
      <c r="A200" s="347">
        <f t="shared" ca="1" si="93"/>
        <v>0.01</v>
      </c>
      <c r="B200" s="304">
        <f t="shared" ca="1" si="94"/>
        <v>1.9600000000000015</v>
      </c>
      <c r="D200" s="306">
        <f t="shared" ca="1" si="95"/>
        <v>14.664248909157328</v>
      </c>
      <c r="E200" s="307">
        <f t="shared" ca="1" si="96"/>
        <v>54.170451639540715</v>
      </c>
      <c r="F200" s="304">
        <f t="shared" ca="1" si="97"/>
        <v>56.120210503004536</v>
      </c>
      <c r="G200" s="306">
        <f t="shared" ca="1" si="98"/>
        <v>27.080969542361771</v>
      </c>
      <c r="H200" s="307">
        <f t="shared" ca="1" si="99"/>
        <v>118.05678627412541</v>
      </c>
      <c r="I200" s="304">
        <f t="shared" ca="1" si="100"/>
        <v>121.12301059967447</v>
      </c>
      <c r="J200" s="306">
        <f t="shared" ca="1" si="101"/>
        <v>25.056632946698752</v>
      </c>
      <c r="K200" s="307">
        <f t="shared" ca="1" si="102"/>
        <v>117.66791810087275</v>
      </c>
      <c r="L200" s="304">
        <f t="shared" ca="1" si="87"/>
        <v>120.30616694425638</v>
      </c>
      <c r="M200" s="306">
        <f t="shared" ca="1" si="103"/>
        <v>1.3453079851075425</v>
      </c>
      <c r="N200" s="304">
        <f t="shared" ca="1" si="104"/>
        <v>77.080469691910793</v>
      </c>
      <c r="P200" s="310">
        <f t="shared" ca="1" si="105"/>
        <v>7</v>
      </c>
      <c r="Q200" s="304">
        <f t="shared" ca="1" si="106"/>
        <v>913.36753246753221</v>
      </c>
      <c r="R200" s="306">
        <f t="shared" ca="1" si="107"/>
        <v>0.45753526305340764</v>
      </c>
      <c r="S200" s="307">
        <f t="shared" ca="1" si="108"/>
        <v>13.302657629480526</v>
      </c>
      <c r="T200" s="304">
        <f t="shared" ca="1" si="88"/>
        <v>130.49907134520396</v>
      </c>
      <c r="U200" s="311">
        <f t="shared" ca="1" si="89"/>
        <v>0</v>
      </c>
      <c r="V200" s="306">
        <f t="shared" ca="1" si="90"/>
        <v>1.2106699891597401</v>
      </c>
      <c r="W200" s="304">
        <f t="shared" ca="1" si="91"/>
        <v>40.558252408560008</v>
      </c>
      <c r="Y200" s="314" t="str">
        <f t="shared" ca="1" si="109"/>
        <v/>
      </c>
      <c r="Z200" s="315" t="str">
        <f t="shared" ca="1" si="110"/>
        <v/>
      </c>
      <c r="AA200" s="316" t="str">
        <f t="shared" ca="1" si="111"/>
        <v/>
      </c>
      <c r="AC200" s="310" t="e">
        <f t="shared" ca="1" si="112"/>
        <v>#N/A</v>
      </c>
      <c r="AD200" s="323" t="e">
        <f t="shared" ca="1" si="113"/>
        <v>#N/A</v>
      </c>
      <c r="AE200" s="324">
        <f t="shared" ca="1" si="92"/>
        <v>117.66791810087275</v>
      </c>
      <c r="AG200" s="306">
        <f t="shared" ca="1" si="114"/>
        <v>56.077400615636357</v>
      </c>
      <c r="AH200" s="304">
        <f t="shared" ca="1" si="115"/>
        <v>65.639457554654811</v>
      </c>
    </row>
    <row r="201" spans="1:34" x14ac:dyDescent="0.25">
      <c r="A201" s="347">
        <f t="shared" ca="1" si="93"/>
        <v>0.01</v>
      </c>
      <c r="B201" s="304">
        <f t="shared" ca="1" si="94"/>
        <v>1.9700000000000015</v>
      </c>
      <c r="D201" s="306">
        <f t="shared" ca="1" si="95"/>
        <v>14.65346758320988</v>
      </c>
      <c r="E201" s="307">
        <f t="shared" ca="1" si="96"/>
        <v>54.070330722271592</v>
      </c>
      <c r="F201" s="304">
        <f t="shared" ca="1" si="97"/>
        <v>56.02075308872606</v>
      </c>
      <c r="G201" s="306">
        <f t="shared" ca="1" si="98"/>
        <v>27.227504218193872</v>
      </c>
      <c r="H201" s="307">
        <f t="shared" ca="1" si="99"/>
        <v>118.59748958134813</v>
      </c>
      <c r="I201" s="304">
        <f t="shared" ca="1" si="100"/>
        <v>121.6827905701942</v>
      </c>
      <c r="J201" s="306">
        <f t="shared" ca="1" si="101"/>
        <v>25.328175315501529</v>
      </c>
      <c r="K201" s="307">
        <f t="shared" ca="1" si="102"/>
        <v>118.85118948015013</v>
      </c>
      <c r="L201" s="304">
        <f t="shared" ca="1" si="87"/>
        <v>121.5200465176809</v>
      </c>
      <c r="M201" s="306">
        <f t="shared" ca="1" si="103"/>
        <v>1.3451277342246732</v>
      </c>
      <c r="N201" s="304">
        <f t="shared" ca="1" si="104"/>
        <v>77.07014207706888</v>
      </c>
      <c r="P201" s="310">
        <f t="shared" ca="1" si="105"/>
        <v>7</v>
      </c>
      <c r="Q201" s="304">
        <f t="shared" ca="1" si="106"/>
        <v>912.10779220779193</v>
      </c>
      <c r="R201" s="306">
        <f t="shared" ca="1" si="107"/>
        <v>0.45690421851697427</v>
      </c>
      <c r="S201" s="307">
        <f t="shared" ca="1" si="108"/>
        <v>13.298088587295357</v>
      </c>
      <c r="T201" s="304">
        <f t="shared" ca="1" si="88"/>
        <v>130.45424904136746</v>
      </c>
      <c r="U201" s="311">
        <f t="shared" ca="1" si="89"/>
        <v>0</v>
      </c>
      <c r="V201" s="306">
        <f t="shared" ca="1" si="90"/>
        <v>1.210526737511801</v>
      </c>
      <c r="W201" s="304">
        <f t="shared" ca="1" si="91"/>
        <v>40.92916181542401</v>
      </c>
      <c r="Y201" s="314" t="str">
        <f t="shared" ca="1" si="109"/>
        <v/>
      </c>
      <c r="Z201" s="315" t="str">
        <f t="shared" ca="1" si="110"/>
        <v/>
      </c>
      <c r="AA201" s="316" t="str">
        <f t="shared" ca="1" si="111"/>
        <v/>
      </c>
      <c r="AC201" s="310" t="e">
        <f t="shared" ca="1" si="112"/>
        <v>#N/A</v>
      </c>
      <c r="AD201" s="323" t="e">
        <f t="shared" ca="1" si="113"/>
        <v>#N/A</v>
      </c>
      <c r="AE201" s="324">
        <f t="shared" ca="1" si="92"/>
        <v>118.85118948015013</v>
      </c>
      <c r="AG201" s="306">
        <f t="shared" ca="1" si="114"/>
        <v>55.977799375964402</v>
      </c>
      <c r="AH201" s="304">
        <f t="shared" ca="1" si="115"/>
        <v>65.539459605637418</v>
      </c>
    </row>
    <row r="202" spans="1:34" x14ac:dyDescent="0.25">
      <c r="A202" s="347">
        <f t="shared" ca="1" si="93"/>
        <v>0.01</v>
      </c>
      <c r="B202" s="304">
        <f t="shared" ca="1" si="94"/>
        <v>1.9800000000000015</v>
      </c>
      <c r="D202" s="306">
        <f t="shared" ca="1" si="95"/>
        <v>14.642568017154074</v>
      </c>
      <c r="E202" s="307">
        <f t="shared" ca="1" si="96"/>
        <v>53.970058353574878</v>
      </c>
      <c r="F202" s="304">
        <f t="shared" ca="1" si="97"/>
        <v>55.92112299324166</v>
      </c>
      <c r="G202" s="306">
        <f t="shared" ca="1" si="98"/>
        <v>27.373929898365411</v>
      </c>
      <c r="H202" s="307">
        <f t="shared" ca="1" si="99"/>
        <v>119.13719016488388</v>
      </c>
      <c r="I202" s="304">
        <f t="shared" ca="1" si="100"/>
        <v>122.24157279119214</v>
      </c>
      <c r="J202" s="306">
        <f t="shared" ca="1" si="101"/>
        <v>25.601182486084326</v>
      </c>
      <c r="K202" s="307">
        <f t="shared" ca="1" si="102"/>
        <v>120.03986287888128</v>
      </c>
      <c r="L202" s="304">
        <f t="shared" ca="1" si="87"/>
        <v>122.73951777918313</v>
      </c>
      <c r="M202" s="306">
        <f t="shared" ca="1" si="103"/>
        <v>1.3449481663039666</v>
      </c>
      <c r="N202" s="304">
        <f t="shared" ca="1" si="104"/>
        <v>77.059853593076454</v>
      </c>
      <c r="P202" s="310">
        <f t="shared" ca="1" si="105"/>
        <v>7</v>
      </c>
      <c r="Q202" s="304">
        <f t="shared" ca="1" si="106"/>
        <v>910.84805194805176</v>
      </c>
      <c r="R202" s="306">
        <f t="shared" ca="1" si="107"/>
        <v>0.45627317398054101</v>
      </c>
      <c r="S202" s="307">
        <f t="shared" ca="1" si="108"/>
        <v>13.293525855555552</v>
      </c>
      <c r="T202" s="304">
        <f t="shared" ca="1" si="88"/>
        <v>130.40948864299997</v>
      </c>
      <c r="U202" s="311">
        <f t="shared" ca="1" si="89"/>
        <v>0</v>
      </c>
      <c r="V202" s="306">
        <f t="shared" ca="1" si="90"/>
        <v>1.210382848838393</v>
      </c>
      <c r="W202" s="304">
        <f t="shared" ca="1" si="91"/>
        <v>41.301018513222836</v>
      </c>
      <c r="Y202" s="314" t="str">
        <f t="shared" ca="1" si="109"/>
        <v/>
      </c>
      <c r="Z202" s="315" t="str">
        <f t="shared" ca="1" si="110"/>
        <v/>
      </c>
      <c r="AA202" s="316" t="str">
        <f t="shared" ca="1" si="111"/>
        <v/>
      </c>
      <c r="AC202" s="310" t="e">
        <f t="shared" ca="1" si="112"/>
        <v>#N/A</v>
      </c>
      <c r="AD202" s="323" t="e">
        <f t="shared" ca="1" si="113"/>
        <v>#N/A</v>
      </c>
      <c r="AE202" s="324">
        <f t="shared" ca="1" si="92"/>
        <v>120.03986287888128</v>
      </c>
      <c r="AG202" s="306">
        <f t="shared" ca="1" si="114"/>
        <v>55.878025018030691</v>
      </c>
      <c r="AH202" s="304">
        <f t="shared" ca="1" si="115"/>
        <v>65.439289740357054</v>
      </c>
    </row>
    <row r="203" spans="1:34" x14ac:dyDescent="0.25">
      <c r="A203" s="347">
        <f t="shared" ca="1" si="93"/>
        <v>0.01</v>
      </c>
      <c r="B203" s="304">
        <f t="shared" ca="1" si="94"/>
        <v>1.9900000000000015</v>
      </c>
      <c r="D203" s="306">
        <f t="shared" ca="1" si="95"/>
        <v>14.631550974330814</v>
      </c>
      <c r="E203" s="307">
        <f t="shared" ca="1" si="96"/>
        <v>53.869635233526786</v>
      </c>
      <c r="F203" s="304">
        <f t="shared" ca="1" si="97"/>
        <v>55.8213210530499</v>
      </c>
      <c r="G203" s="306">
        <f t="shared" ca="1" si="98"/>
        <v>27.520245408108718</v>
      </c>
      <c r="H203" s="307">
        <f t="shared" ca="1" si="99"/>
        <v>119.67588651721914</v>
      </c>
      <c r="I203" s="304">
        <f t="shared" ca="1" si="100"/>
        <v>122.79935553985959</v>
      </c>
      <c r="J203" s="306">
        <f t="shared" ca="1" si="101"/>
        <v>25.875653362616696</v>
      </c>
      <c r="K203" s="307">
        <f t="shared" ca="1" si="102"/>
        <v>121.2339282622918</v>
      </c>
      <c r="L203" s="304">
        <f t="shared" ca="1" si="87"/>
        <v>123.96457074038861</v>
      </c>
      <c r="M203" s="306">
        <f t="shared" ca="1" si="103"/>
        <v>1.3447692742115536</v>
      </c>
      <c r="N203" s="304">
        <f t="shared" ca="1" si="104"/>
        <v>77.049603831192911</v>
      </c>
      <c r="P203" s="310">
        <f t="shared" ca="1" si="105"/>
        <v>7</v>
      </c>
      <c r="Q203" s="304">
        <f t="shared" ca="1" si="106"/>
        <v>909.58831168831148</v>
      </c>
      <c r="R203" s="306">
        <f t="shared" ca="1" si="107"/>
        <v>0.45564212944410765</v>
      </c>
      <c r="S203" s="307">
        <f t="shared" ca="1" si="108"/>
        <v>13.288969434261112</v>
      </c>
      <c r="T203" s="304">
        <f t="shared" ca="1" si="88"/>
        <v>130.36479015010153</v>
      </c>
      <c r="U203" s="311">
        <f t="shared" ca="1" si="89"/>
        <v>0</v>
      </c>
      <c r="V203" s="306">
        <f t="shared" ca="1" si="90"/>
        <v>1.2102383245827972</v>
      </c>
      <c r="W203" s="304">
        <f t="shared" ca="1" si="91"/>
        <v>41.673811165660169</v>
      </c>
      <c r="Y203" s="314" t="str">
        <f t="shared" ca="1" si="109"/>
        <v/>
      </c>
      <c r="Z203" s="315" t="str">
        <f t="shared" ca="1" si="110"/>
        <v/>
      </c>
      <c r="AA203" s="316" t="str">
        <f t="shared" ca="1" si="111"/>
        <v/>
      </c>
      <c r="AC203" s="310" t="e">
        <f t="shared" ca="1" si="112"/>
        <v>#N/A</v>
      </c>
      <c r="AD203" s="323" t="e">
        <f t="shared" ca="1" si="113"/>
        <v>#N/A</v>
      </c>
      <c r="AE203" s="324">
        <f t="shared" ca="1" si="92"/>
        <v>121.2339282622918</v>
      </c>
      <c r="AG203" s="306">
        <f t="shared" ca="1" si="114"/>
        <v>55.778078373158714</v>
      </c>
      <c r="AH203" s="304">
        <f t="shared" ca="1" si="115"/>
        <v>65.338948777811439</v>
      </c>
    </row>
    <row r="204" spans="1:34" x14ac:dyDescent="0.25">
      <c r="A204" s="347">
        <f t="shared" ca="1" si="93"/>
        <v>0.01</v>
      </c>
      <c r="B204" s="304">
        <f t="shared" ca="1" si="94"/>
        <v>2.0000000000000013</v>
      </c>
      <c r="D204" s="306">
        <f t="shared" ca="1" si="95"/>
        <v>14.620417209865865</v>
      </c>
      <c r="E204" s="307">
        <f t="shared" ca="1" si="96"/>
        <v>53.769062064859362</v>
      </c>
      <c r="F204" s="304">
        <f t="shared" ca="1" si="97"/>
        <v>55.721348105777558</v>
      </c>
      <c r="G204" s="306">
        <f t="shared" ca="1" si="98"/>
        <v>27.666449580207377</v>
      </c>
      <c r="H204" s="307">
        <f t="shared" ca="1" si="99"/>
        <v>120.21357713786773</v>
      </c>
      <c r="I204" s="304">
        <f t="shared" ca="1" si="100"/>
        <v>123.35613710171145</v>
      </c>
      <c r="J204" s="306">
        <f t="shared" ca="1" si="101"/>
        <v>26.151586837558277</v>
      </c>
      <c r="K204" s="307">
        <f t="shared" ca="1" si="102"/>
        <v>122.43337558056723</v>
      </c>
      <c r="L204" s="304">
        <f t="shared" ca="1" si="87"/>
        <v>125.19519539572829</v>
      </c>
      <c r="M204" s="306">
        <f t="shared" ca="1" si="103"/>
        <v>1.3445910509186978</v>
      </c>
      <c r="N204" s="304">
        <f t="shared" ca="1" si="104"/>
        <v>77.039392388701359</v>
      </c>
      <c r="P204" s="310">
        <f t="shared" ca="1" si="105"/>
        <v>7</v>
      </c>
      <c r="Q204" s="304">
        <f t="shared" ca="1" si="106"/>
        <v>908.32857142857119</v>
      </c>
      <c r="R204" s="306">
        <f t="shared" ca="1" si="107"/>
        <v>0.45501108490767428</v>
      </c>
      <c r="S204" s="307">
        <f t="shared" ca="1" si="108"/>
        <v>13.284419323412035</v>
      </c>
      <c r="T204" s="304">
        <f t="shared" ca="1" si="88"/>
        <v>130.32015356267206</v>
      </c>
      <c r="U204" s="311">
        <f t="shared" ca="1" si="89"/>
        <v>0</v>
      </c>
      <c r="V204" s="306">
        <f t="shared" ca="1" si="90"/>
        <v>1.2100931661905063</v>
      </c>
      <c r="W204" s="304">
        <f t="shared" ca="1" si="91"/>
        <v>42.047528440953521</v>
      </c>
      <c r="Y204" s="314" t="str">
        <f t="shared" ca="1" si="109"/>
        <v/>
      </c>
      <c r="Z204" s="315" t="str">
        <f t="shared" ca="1" si="110"/>
        <v/>
      </c>
      <c r="AA204" s="316" t="str">
        <f t="shared" ca="1" si="111"/>
        <v/>
      </c>
      <c r="AC204" s="310">
        <f t="shared" ca="1" si="112"/>
        <v>2.0000000000000013</v>
      </c>
      <c r="AD204" s="323">
        <f t="shared" ca="1" si="113"/>
        <v>26.151586837558277</v>
      </c>
      <c r="AE204" s="324">
        <f t="shared" ca="1" si="92"/>
        <v>122.43337558056723</v>
      </c>
      <c r="AG204" s="306">
        <f t="shared" ca="1" si="114"/>
        <v>55.677960273794483</v>
      </c>
      <c r="AH204" s="304">
        <f t="shared" ca="1" si="115"/>
        <v>65.238437538293184</v>
      </c>
    </row>
    <row r="205" spans="1:34" x14ac:dyDescent="0.25">
      <c r="A205" s="347">
        <f t="shared" ca="1" si="93"/>
        <v>0.01</v>
      </c>
      <c r="B205" s="304">
        <f t="shared" ca="1" si="94"/>
        <v>2.0100000000000011</v>
      </c>
      <c r="D205" s="306">
        <f t="shared" ca="1" si="95"/>
        <v>14.609167470839818</v>
      </c>
      <c r="E205" s="307">
        <f t="shared" ca="1" si="96"/>
        <v>53.668339552908641</v>
      </c>
      <c r="F205" s="304">
        <f t="shared" ca="1" si="97"/>
        <v>55.621204990159484</v>
      </c>
      <c r="G205" s="306">
        <f t="shared" ca="1" si="98"/>
        <v>27.812541254915775</v>
      </c>
      <c r="H205" s="307">
        <f t="shared" ca="1" si="99"/>
        <v>120.75026053339681</v>
      </c>
      <c r="I205" s="304">
        <f t="shared" ca="1" si="100"/>
        <v>123.9119157705973</v>
      </c>
      <c r="J205" s="306">
        <f t="shared" ca="1" si="101"/>
        <v>26.428981791733893</v>
      </c>
      <c r="K205" s="307">
        <f t="shared" ca="1" si="102"/>
        <v>123.63819476892355</v>
      </c>
      <c r="L205" s="304">
        <f t="shared" ca="1" si="87"/>
        <v>126.43138172252203</v>
      </c>
      <c r="M205" s="306">
        <f t="shared" ca="1" si="103"/>
        <v>1.3444134894996949</v>
      </c>
      <c r="N205" s="304">
        <f t="shared" ca="1" si="104"/>
        <v>77.029218868788135</v>
      </c>
      <c r="P205" s="310">
        <f t="shared" ca="1" si="105"/>
        <v>7</v>
      </c>
      <c r="Q205" s="304">
        <f t="shared" ca="1" si="106"/>
        <v>907.06883116883091</v>
      </c>
      <c r="R205" s="306">
        <f t="shared" ca="1" si="107"/>
        <v>0.45438004037124097</v>
      </c>
      <c r="S205" s="307">
        <f t="shared" ca="1" si="108"/>
        <v>13.279875523008322</v>
      </c>
      <c r="T205" s="304">
        <f t="shared" ca="1" si="88"/>
        <v>130.27557888071163</v>
      </c>
      <c r="U205" s="311">
        <f t="shared" ca="1" si="89"/>
        <v>0</v>
      </c>
      <c r="V205" s="306">
        <f t="shared" ca="1" si="90"/>
        <v>1.2099473751092087</v>
      </c>
      <c r="W205" s="304">
        <f t="shared" ca="1" si="91"/>
        <v>42.422159012134237</v>
      </c>
      <c r="Y205" s="314" t="str">
        <f t="shared" ca="1" si="109"/>
        <v/>
      </c>
      <c r="Z205" s="315" t="str">
        <f t="shared" ca="1" si="110"/>
        <v/>
      </c>
      <c r="AA205" s="316" t="str">
        <f t="shared" ca="1" si="111"/>
        <v/>
      </c>
      <c r="AC205" s="310" t="e">
        <f t="shared" ca="1" si="112"/>
        <v>#N/A</v>
      </c>
      <c r="AD205" s="323" t="e">
        <f t="shared" ca="1" si="113"/>
        <v>#N/A</v>
      </c>
      <c r="AE205" s="324">
        <f t="shared" ca="1" si="92"/>
        <v>123.63819476892355</v>
      </c>
      <c r="AG205" s="306">
        <f t="shared" ca="1" si="114"/>
        <v>55.577671553485587</v>
      </c>
      <c r="AH205" s="304">
        <f t="shared" ca="1" si="115"/>
        <v>65.137756843365509</v>
      </c>
    </row>
    <row r="206" spans="1:34" x14ac:dyDescent="0.25">
      <c r="A206" s="347">
        <f t="shared" ca="1" si="93"/>
        <v>0.01</v>
      </c>
      <c r="B206" s="304">
        <f t="shared" ca="1" si="94"/>
        <v>2.0200000000000009</v>
      </c>
      <c r="D206" s="306">
        <f t="shared" ca="1" si="95"/>
        <v>14.597802496453674</v>
      </c>
      <c r="E206" s="307">
        <f t="shared" ca="1" si="96"/>
        <v>53.567468405563361</v>
      </c>
      <c r="F206" s="304">
        <f t="shared" ca="1" si="97"/>
        <v>55.520892546018189</v>
      </c>
      <c r="G206" s="306">
        <f t="shared" ca="1" si="98"/>
        <v>27.958519279880313</v>
      </c>
      <c r="H206" s="307">
        <f t="shared" ca="1" si="99"/>
        <v>121.28593521745245</v>
      </c>
      <c r="I206" s="304">
        <f t="shared" ca="1" si="100"/>
        <v>124.46668984871218</v>
      </c>
      <c r="J206" s="306">
        <f t="shared" ca="1" si="101"/>
        <v>26.707837094407875</v>
      </c>
      <c r="K206" s="307">
        <f t="shared" ca="1" si="102"/>
        <v>124.84837574767781</v>
      </c>
      <c r="L206" s="304">
        <f t="shared" ca="1" si="87"/>
        <v>127.67311968106196</v>
      </c>
      <c r="M206" s="306">
        <f t="shared" ca="1" si="103"/>
        <v>1.3442365831298237</v>
      </c>
      <c r="N206" s="304">
        <f t="shared" ca="1" si="104"/>
        <v>77.019082880425543</v>
      </c>
      <c r="P206" s="310">
        <f t="shared" ca="1" si="105"/>
        <v>7</v>
      </c>
      <c r="Q206" s="304">
        <f t="shared" ca="1" si="106"/>
        <v>905.80909090909074</v>
      </c>
      <c r="R206" s="306">
        <f t="shared" ca="1" si="107"/>
        <v>0.45374899583480766</v>
      </c>
      <c r="S206" s="307">
        <f t="shared" ca="1" si="108"/>
        <v>13.275338033049973</v>
      </c>
      <c r="T206" s="304">
        <f t="shared" ca="1" si="88"/>
        <v>130.23106610422025</v>
      </c>
      <c r="U206" s="311">
        <f t="shared" ca="1" si="89"/>
        <v>0</v>
      </c>
      <c r="V206" s="306">
        <f t="shared" ca="1" si="90"/>
        <v>1.209800952788771</v>
      </c>
      <c r="W206" s="304">
        <f t="shared" ca="1" si="91"/>
        <v>42.797691557346504</v>
      </c>
      <c r="Y206" s="314" t="str">
        <f t="shared" ca="1" si="109"/>
        <v/>
      </c>
      <c r="Z206" s="315" t="str">
        <f t="shared" ca="1" si="110"/>
        <v/>
      </c>
      <c r="AA206" s="316" t="str">
        <f t="shared" ca="1" si="111"/>
        <v/>
      </c>
      <c r="AC206" s="310" t="e">
        <f t="shared" ca="1" si="112"/>
        <v>#N/A</v>
      </c>
      <c r="AD206" s="323" t="e">
        <f t="shared" ca="1" si="113"/>
        <v>#N/A</v>
      </c>
      <c r="AE206" s="324">
        <f t="shared" ca="1" si="92"/>
        <v>124.84837574767781</v>
      </c>
      <c r="AG206" s="306">
        <f t="shared" ca="1" si="114"/>
        <v>55.477213046860086</v>
      </c>
      <c r="AH206" s="304">
        <f t="shared" ca="1" si="115"/>
        <v>65.036907515837896</v>
      </c>
    </row>
    <row r="207" spans="1:34" x14ac:dyDescent="0.25">
      <c r="A207" s="347">
        <f t="shared" ca="1" si="93"/>
        <v>0.01</v>
      </c>
      <c r="B207" s="304">
        <f t="shared" ca="1" si="94"/>
        <v>2.0300000000000007</v>
      </c>
      <c r="D207" s="306">
        <f t="shared" ca="1" si="95"/>
        <v>14.586323018190148</v>
      </c>
      <c r="E207" s="307">
        <f t="shared" ca="1" si="96"/>
        <v>53.46644933321447</v>
      </c>
      <c r="F207" s="304">
        <f t="shared" ca="1" si="97"/>
        <v>55.420411614243484</v>
      </c>
      <c r="G207" s="306">
        <f t="shared" ca="1" si="98"/>
        <v>28.104382510062216</v>
      </c>
      <c r="H207" s="307">
        <f t="shared" ca="1" si="99"/>
        <v>121.82059971078459</v>
      </c>
      <c r="I207" s="304">
        <f t="shared" ca="1" si="100"/>
        <v>125.02045764660718</v>
      </c>
      <c r="J207" s="306">
        <f t="shared" ca="1" si="101"/>
        <v>26.988151603357586</v>
      </c>
      <c r="K207" s="307">
        <f t="shared" ca="1" si="102"/>
        <v>126.06390842231899</v>
      </c>
      <c r="L207" s="304">
        <f t="shared" ca="1" si="87"/>
        <v>128.9203992146962</v>
      </c>
      <c r="M207" s="306">
        <f t="shared" ca="1" si="103"/>
        <v>1.3440603250833496</v>
      </c>
      <c r="N207" s="304">
        <f t="shared" ca="1" si="104"/>
        <v>77.008984038257353</v>
      </c>
      <c r="P207" s="310">
        <f t="shared" ca="1" si="105"/>
        <v>7</v>
      </c>
      <c r="Q207" s="304">
        <f t="shared" ca="1" si="106"/>
        <v>904.54935064935046</v>
      </c>
      <c r="R207" s="306">
        <f t="shared" ca="1" si="107"/>
        <v>0.45311795129837434</v>
      </c>
      <c r="S207" s="307">
        <f t="shared" ca="1" si="108"/>
        <v>13.270806853536989</v>
      </c>
      <c r="T207" s="304">
        <f t="shared" ca="1" si="88"/>
        <v>130.18661523319787</v>
      </c>
      <c r="U207" s="311">
        <f t="shared" ca="1" si="89"/>
        <v>0</v>
      </c>
      <c r="V207" s="306">
        <f t="shared" ca="1" si="90"/>
        <v>1.2096539006812241</v>
      </c>
      <c r="W207" s="304">
        <f t="shared" ca="1" si="91"/>
        <v>43.174114760145599</v>
      </c>
      <c r="Y207" s="314" t="str">
        <f t="shared" ca="1" si="109"/>
        <v/>
      </c>
      <c r="Z207" s="315" t="str">
        <f t="shared" ca="1" si="110"/>
        <v/>
      </c>
      <c r="AA207" s="316" t="str">
        <f t="shared" ca="1" si="111"/>
        <v/>
      </c>
      <c r="AC207" s="310" t="e">
        <f t="shared" ca="1" si="112"/>
        <v>#N/A</v>
      </c>
      <c r="AD207" s="323" t="e">
        <f t="shared" ca="1" si="113"/>
        <v>#N/A</v>
      </c>
      <c r="AE207" s="324">
        <f t="shared" ca="1" si="92"/>
        <v>126.06390842231899</v>
      </c>
      <c r="AG207" s="306">
        <f t="shared" ca="1" si="114"/>
        <v>55.376585589605455</v>
      </c>
      <c r="AH207" s="304">
        <f t="shared" ca="1" si="115"/>
        <v>64.935890379741792</v>
      </c>
    </row>
    <row r="208" spans="1:34" x14ac:dyDescent="0.25">
      <c r="A208" s="347">
        <f t="shared" ca="1" si="93"/>
        <v>0.01</v>
      </c>
      <c r="B208" s="304">
        <f t="shared" ca="1" si="94"/>
        <v>2.0400000000000005</v>
      </c>
      <c r="D208" s="306">
        <f t="shared" ca="1" si="95"/>
        <v>14.574729759970792</v>
      </c>
      <c r="E208" s="307">
        <f t="shared" ca="1" si="96"/>
        <v>53.365283048705216</v>
      </c>
      <c r="F208" s="304">
        <f t="shared" ca="1" si="97"/>
        <v>55.319763036771974</v>
      </c>
      <c r="G208" s="306">
        <f t="shared" ca="1" si="98"/>
        <v>28.250129807661924</v>
      </c>
      <c r="H208" s="307">
        <f t="shared" ca="1" si="99"/>
        <v>122.35425254127165</v>
      </c>
      <c r="I208" s="304">
        <f t="shared" ca="1" si="100"/>
        <v>125.57321748319993</v>
      </c>
      <c r="J208" s="306">
        <f t="shared" ca="1" si="101"/>
        <v>27.269924164946207</v>
      </c>
      <c r="K208" s="307">
        <f t="shared" ca="1" si="102"/>
        <v>127.28478268357927</v>
      </c>
      <c r="L208" s="304">
        <f t="shared" ca="1" si="87"/>
        <v>130.17321024991247</v>
      </c>
      <c r="M208" s="306">
        <f t="shared" ca="1" si="103"/>
        <v>1.3438847087315764</v>
      </c>
      <c r="N208" s="304">
        <f t="shared" ca="1" si="104"/>
        <v>76.998921962487259</v>
      </c>
      <c r="P208" s="310">
        <f t="shared" ca="1" si="105"/>
        <v>7</v>
      </c>
      <c r="Q208" s="304">
        <f t="shared" ca="1" si="106"/>
        <v>903.28961038961029</v>
      </c>
      <c r="R208" s="306">
        <f t="shared" ca="1" si="107"/>
        <v>0.45248690676194103</v>
      </c>
      <c r="S208" s="307">
        <f t="shared" ca="1" si="108"/>
        <v>13.266281984469369</v>
      </c>
      <c r="T208" s="304">
        <f t="shared" ca="1" si="88"/>
        <v>130.14222626764453</v>
      </c>
      <c r="U208" s="311">
        <f t="shared" ca="1" si="89"/>
        <v>0</v>
      </c>
      <c r="V208" s="306">
        <f t="shared" ca="1" si="90"/>
        <v>1.2095062202407421</v>
      </c>
      <c r="W208" s="304">
        <f t="shared" ca="1" si="91"/>
        <v>43.55141730979495</v>
      </c>
      <c r="Y208" s="314" t="str">
        <f t="shared" ca="1" si="109"/>
        <v/>
      </c>
      <c r="Z208" s="315" t="str">
        <f t="shared" ca="1" si="110"/>
        <v/>
      </c>
      <c r="AA208" s="316" t="str">
        <f t="shared" ca="1" si="111"/>
        <v/>
      </c>
      <c r="AC208" s="310" t="e">
        <f t="shared" ca="1" si="112"/>
        <v>#N/A</v>
      </c>
      <c r="AD208" s="323" t="e">
        <f t="shared" ca="1" si="113"/>
        <v>#N/A</v>
      </c>
      <c r="AE208" s="324">
        <f t="shared" ca="1" si="92"/>
        <v>127.28478268357927</v>
      </c>
      <c r="AG208" s="306">
        <f t="shared" ca="1" si="114"/>
        <v>55.275790018447303</v>
      </c>
      <c r="AH208" s="304">
        <f t="shared" ca="1" si="115"/>
        <v>64.834706260306291</v>
      </c>
    </row>
    <row r="209" spans="1:34" x14ac:dyDescent="0.25">
      <c r="A209" s="347">
        <f t="shared" ca="1" si="93"/>
        <v>0.01</v>
      </c>
      <c r="B209" s="304">
        <f t="shared" ca="1" si="94"/>
        <v>2.0500000000000003</v>
      </c>
      <c r="D209" s="306">
        <f t="shared" ca="1" si="95"/>
        <v>14.563023438309044</v>
      </c>
      <c r="E209" s="307">
        <f t="shared" ca="1" si="96"/>
        <v>53.26397026728192</v>
      </c>
      <c r="F209" s="304">
        <f t="shared" ca="1" si="97"/>
        <v>55.218947656566506</v>
      </c>
      <c r="G209" s="306">
        <f t="shared" ca="1" si="98"/>
        <v>28.395760042045016</v>
      </c>
      <c r="H209" s="307">
        <f t="shared" ca="1" si="99"/>
        <v>122.88689224394447</v>
      </c>
      <c r="I209" s="304">
        <f t="shared" ca="1" si="100"/>
        <v>126.12496768578464</v>
      </c>
      <c r="J209" s="306">
        <f t="shared" ca="1" si="101"/>
        <v>27.553153614194741</v>
      </c>
      <c r="K209" s="307">
        <f t="shared" ca="1" si="102"/>
        <v>128.51098840750535</v>
      </c>
      <c r="L209" s="304">
        <f t="shared" ca="1" si="87"/>
        <v>131.43154269642196</v>
      </c>
      <c r="M209" s="306">
        <f t="shared" ca="1" si="103"/>
        <v>1.3437097275409455</v>
      </c>
      <c r="N209" s="304">
        <f t="shared" ca="1" si="104"/>
        <v>76.988896278769943</v>
      </c>
      <c r="P209" s="310">
        <f t="shared" ca="1" si="105"/>
        <v>7</v>
      </c>
      <c r="Q209" s="304">
        <f t="shared" ca="1" si="106"/>
        <v>902.02987012987001</v>
      </c>
      <c r="R209" s="306">
        <f t="shared" ca="1" si="107"/>
        <v>0.45185586222550772</v>
      </c>
      <c r="S209" s="307">
        <f t="shared" ca="1" si="108"/>
        <v>13.261763425847114</v>
      </c>
      <c r="T209" s="304">
        <f t="shared" ca="1" si="88"/>
        <v>130.0978992075602</v>
      </c>
      <c r="U209" s="311">
        <f t="shared" ca="1" si="89"/>
        <v>0</v>
      </c>
      <c r="V209" s="306">
        <f t="shared" ca="1" si="90"/>
        <v>1.2093579129236276</v>
      </c>
      <c r="W209" s="304">
        <f t="shared" ca="1" si="91"/>
        <v>43.92958790156252</v>
      </c>
      <c r="Y209" s="314" t="str">
        <f t="shared" ca="1" si="109"/>
        <v/>
      </c>
      <c r="Z209" s="315" t="str">
        <f t="shared" ca="1" si="110"/>
        <v/>
      </c>
      <c r="AA209" s="316" t="str">
        <f t="shared" ca="1" si="111"/>
        <v/>
      </c>
      <c r="AC209" s="310" t="e">
        <f t="shared" ca="1" si="112"/>
        <v>#N/A</v>
      </c>
      <c r="AD209" s="323" t="e">
        <f t="shared" ca="1" si="113"/>
        <v>#N/A</v>
      </c>
      <c r="AE209" s="324">
        <f t="shared" ca="1" si="92"/>
        <v>128.51098840750535</v>
      </c>
      <c r="AG209" s="306">
        <f t="shared" ca="1" si="114"/>
        <v>55.1748271711282</v>
      </c>
      <c r="AH209" s="304">
        <f t="shared" ca="1" si="115"/>
        <v>64.733355983933833</v>
      </c>
    </row>
    <row r="210" spans="1:34" x14ac:dyDescent="0.25">
      <c r="A210" s="347">
        <f t="shared" ca="1" si="93"/>
        <v>0.01</v>
      </c>
      <c r="B210" s="304">
        <f t="shared" ca="1" si="94"/>
        <v>2.06</v>
      </c>
      <c r="D210" s="306">
        <f t="shared" ca="1" si="95"/>
        <v>14.549683083593399</v>
      </c>
      <c r="E210" s="307">
        <f t="shared" ca="1" si="96"/>
        <v>53.155926414002629</v>
      </c>
      <c r="F210" s="304">
        <f t="shared" ca="1" si="97"/>
        <v>55.111212931343346</v>
      </c>
      <c r="G210" s="306">
        <f t="shared" ca="1" si="98"/>
        <v>28.54125687288095</v>
      </c>
      <c r="H210" s="307">
        <f t="shared" ca="1" si="99"/>
        <v>123.4184515080845</v>
      </c>
      <c r="I210" s="304">
        <f t="shared" ca="1" si="100"/>
        <v>126.6756390018901</v>
      </c>
      <c r="J210" s="306">
        <f t="shared" ca="1" si="101"/>
        <v>27.837838698769371</v>
      </c>
      <c r="K210" s="307">
        <f t="shared" ca="1" si="102"/>
        <v>129.74251512626549</v>
      </c>
      <c r="L210" s="304">
        <f t="shared" ca="1" si="87"/>
        <v>132.69538610934416</v>
      </c>
      <c r="M210" s="306">
        <f t="shared" ca="1" si="103"/>
        <v>1.3435353749781578</v>
      </c>
      <c r="N210" s="304">
        <f t="shared" ca="1" si="104"/>
        <v>76.978906612774907</v>
      </c>
      <c r="P210" s="310">
        <f t="shared" ca="1" si="105"/>
        <v>8</v>
      </c>
      <c r="Q210" s="304">
        <f t="shared" ca="1" si="106"/>
        <v>900.68055555555543</v>
      </c>
      <c r="R210" s="306">
        <f t="shared" ca="1" si="107"/>
        <v>0.4511799470251579</v>
      </c>
      <c r="S210" s="307">
        <f t="shared" ca="1" si="108"/>
        <v>13.257251626376863</v>
      </c>
      <c r="T210" s="304">
        <f t="shared" ca="1" si="88"/>
        <v>130.05363845475705</v>
      </c>
      <c r="U210" s="311">
        <f t="shared" ca="1" si="89"/>
        <v>0</v>
      </c>
      <c r="V210" s="306">
        <f t="shared" ca="1" si="90"/>
        <v>1.2092089802281132</v>
      </c>
      <c r="W210" s="304">
        <f t="shared" ca="1" si="91"/>
        <v>44.308567956534397</v>
      </c>
      <c r="Y210" s="314" t="str">
        <f t="shared" ca="1" si="109"/>
        <v/>
      </c>
      <c r="Z210" s="315" t="str">
        <f t="shared" ca="1" si="110"/>
        <v/>
      </c>
      <c r="AA210" s="316" t="str">
        <f t="shared" ca="1" si="111"/>
        <v/>
      </c>
      <c r="AC210" s="310" t="e">
        <f t="shared" ca="1" si="112"/>
        <v>#N/A</v>
      </c>
      <c r="AD210" s="323" t="e">
        <f t="shared" ca="1" si="113"/>
        <v>#N/A</v>
      </c>
      <c r="AE210" s="324">
        <f t="shared" ca="1" si="92"/>
        <v>129.74251512626549</v>
      </c>
      <c r="AG210" s="306">
        <f t="shared" ca="1" si="114"/>
        <v>55.066939071072596</v>
      </c>
      <c r="AH210" s="304">
        <f t="shared" ca="1" si="115"/>
        <v>64.625081562862249</v>
      </c>
    </row>
    <row r="211" spans="1:34" x14ac:dyDescent="0.25">
      <c r="A211" s="347">
        <f t="shared" ca="1" si="93"/>
        <v>0.01</v>
      </c>
      <c r="B211" s="304">
        <f t="shared" ca="1" si="94"/>
        <v>2.0699999999999998</v>
      </c>
      <c r="D211" s="306">
        <f t="shared" ca="1" si="95"/>
        <v>14.534704720450593</v>
      </c>
      <c r="E211" s="307">
        <f t="shared" ca="1" si="96"/>
        <v>53.041147646189401</v>
      </c>
      <c r="F211" s="304">
        <f t="shared" ca="1" si="97"/>
        <v>54.996554300570068</v>
      </c>
      <c r="G211" s="306">
        <f t="shared" ca="1" si="98"/>
        <v>28.686603920085457</v>
      </c>
      <c r="H211" s="307">
        <f t="shared" ca="1" si="99"/>
        <v>123.94886298454639</v>
      </c>
      <c r="I211" s="304">
        <f t="shared" ca="1" si="100"/>
        <v>127.22516213245601</v>
      </c>
      <c r="J211" s="306">
        <f t="shared" ca="1" si="101"/>
        <v>28.123978002734201</v>
      </c>
      <c r="K211" s="307">
        <f t="shared" ca="1" si="102"/>
        <v>130.97935169872864</v>
      </c>
      <c r="L211" s="304">
        <f t="shared" ca="1" si="87"/>
        <v>133.96472935111512</v>
      </c>
      <c r="M211" s="306">
        <f t="shared" ca="1" si="103"/>
        <v>1.343361644511148</v>
      </c>
      <c r="N211" s="304">
        <f t="shared" ca="1" si="104"/>
        <v>76.968952590242409</v>
      </c>
      <c r="P211" s="310">
        <f t="shared" ca="1" si="105"/>
        <v>8</v>
      </c>
      <c r="Q211" s="304">
        <f t="shared" ca="1" si="106"/>
        <v>899.24166666666667</v>
      </c>
      <c r="R211" s="306">
        <f t="shared" ca="1" si="107"/>
        <v>0.45045916116089163</v>
      </c>
      <c r="S211" s="307">
        <f t="shared" ca="1" si="108"/>
        <v>13.252747034765255</v>
      </c>
      <c r="T211" s="304">
        <f t="shared" ca="1" si="88"/>
        <v>130.00944841104715</v>
      </c>
      <c r="U211" s="311">
        <f t="shared" ca="1" si="89"/>
        <v>0</v>
      </c>
      <c r="V211" s="306">
        <f t="shared" ca="1" si="90"/>
        <v>1.2090594237341559</v>
      </c>
      <c r="W211" s="304">
        <f t="shared" ca="1" si="91"/>
        <v>44.688298069656518</v>
      </c>
      <c r="Y211" s="314" t="str">
        <f t="shared" ca="1" si="109"/>
        <v/>
      </c>
      <c r="Z211" s="315" t="str">
        <f t="shared" ca="1" si="110"/>
        <v/>
      </c>
      <c r="AA211" s="316" t="str">
        <f t="shared" ca="1" si="111"/>
        <v/>
      </c>
      <c r="AC211" s="310" t="e">
        <f t="shared" ca="1" si="112"/>
        <v>#N/A</v>
      </c>
      <c r="AD211" s="323" t="e">
        <f t="shared" ca="1" si="113"/>
        <v>#N/A</v>
      </c>
      <c r="AE211" s="324">
        <f t="shared" ca="1" si="92"/>
        <v>130.97935169872864</v>
      </c>
      <c r="AG211" s="306">
        <f t="shared" ca="1" si="114"/>
        <v>54.952121059348812</v>
      </c>
      <c r="AH211" s="304">
        <f t="shared" ca="1" si="115"/>
        <v>64.509878326918184</v>
      </c>
    </row>
    <row r="212" spans="1:34" x14ac:dyDescent="0.25">
      <c r="A212" s="347">
        <f t="shared" ca="1" si="93"/>
        <v>0.01</v>
      </c>
      <c r="B212" s="304">
        <f t="shared" ca="1" si="94"/>
        <v>2.0799999999999996</v>
      </c>
      <c r="D212" s="306">
        <f t="shared" ca="1" si="95"/>
        <v>14.51960941883984</v>
      </c>
      <c r="E212" s="307">
        <f t="shared" ca="1" si="96"/>
        <v>52.926219437422603</v>
      </c>
      <c r="F212" s="304">
        <f t="shared" ca="1" si="97"/>
        <v>54.881725206245768</v>
      </c>
      <c r="G212" s="306">
        <f t="shared" ca="1" si="98"/>
        <v>28.831800014273856</v>
      </c>
      <c r="H212" s="307">
        <f t="shared" ca="1" si="99"/>
        <v>124.47812517892062</v>
      </c>
      <c r="I212" s="304">
        <f t="shared" ca="1" si="100"/>
        <v>127.77353536676566</v>
      </c>
      <c r="J212" s="306">
        <f t="shared" ca="1" si="101"/>
        <v>28.411570022405996</v>
      </c>
      <c r="K212" s="307">
        <f t="shared" ca="1" si="102"/>
        <v>132.22148663954596</v>
      </c>
      <c r="L212" s="304">
        <f t="shared" ca="1" si="87"/>
        <v>135.23956092915162</v>
      </c>
      <c r="M212" s="306">
        <f t="shared" ca="1" si="103"/>
        <v>1.3431885297016442</v>
      </c>
      <c r="N212" s="304">
        <f t="shared" ca="1" si="104"/>
        <v>76.95903384228663</v>
      </c>
      <c r="P212" s="310">
        <f t="shared" ca="1" si="105"/>
        <v>8</v>
      </c>
      <c r="Q212" s="304">
        <f t="shared" ca="1" si="106"/>
        <v>897.80277777777781</v>
      </c>
      <c r="R212" s="306">
        <f t="shared" ca="1" si="107"/>
        <v>0.44973837529662536</v>
      </c>
      <c r="S212" s="307">
        <f t="shared" ca="1" si="108"/>
        <v>13.248249651012289</v>
      </c>
      <c r="T212" s="304">
        <f t="shared" ca="1" si="88"/>
        <v>129.96532907643055</v>
      </c>
      <c r="U212" s="311">
        <f t="shared" ca="1" si="89"/>
        <v>0</v>
      </c>
      <c r="V212" s="306">
        <f t="shared" ca="1" si="90"/>
        <v>1.2089092450635981</v>
      </c>
      <c r="W212" s="304">
        <f t="shared" ca="1" si="91"/>
        <v>45.068765725660256</v>
      </c>
      <c r="Y212" s="314" t="str">
        <f t="shared" ca="1" si="109"/>
        <v/>
      </c>
      <c r="Z212" s="315" t="str">
        <f t="shared" ca="1" si="110"/>
        <v/>
      </c>
      <c r="AA212" s="316" t="str">
        <f t="shared" ca="1" si="111"/>
        <v/>
      </c>
      <c r="AC212" s="310" t="e">
        <f t="shared" ca="1" si="112"/>
        <v>#N/A</v>
      </c>
      <c r="AD212" s="323" t="e">
        <f t="shared" ca="1" si="113"/>
        <v>#N/A</v>
      </c>
      <c r="AE212" s="324">
        <f t="shared" ca="1" si="92"/>
        <v>132.22148663954596</v>
      </c>
      <c r="AG212" s="306">
        <f t="shared" ca="1" si="114"/>
        <v>54.837131970389812</v>
      </c>
      <c r="AH212" s="304">
        <f t="shared" ca="1" si="115"/>
        <v>64.394505099240448</v>
      </c>
    </row>
    <row r="213" spans="1:34" x14ac:dyDescent="0.25">
      <c r="A213" s="347">
        <f t="shared" ca="1" si="93"/>
        <v>0.01</v>
      </c>
      <c r="B213" s="304">
        <f t="shared" ca="1" si="94"/>
        <v>2.0899999999999994</v>
      </c>
      <c r="D213" s="306">
        <f t="shared" ca="1" si="95"/>
        <v>14.504397928793244</v>
      </c>
      <c r="E213" s="307">
        <f t="shared" ca="1" si="96"/>
        <v>52.81114263179397</v>
      </c>
      <c r="F213" s="304">
        <f t="shared" ca="1" si="97"/>
        <v>54.766726626232355</v>
      </c>
      <c r="G213" s="306">
        <f t="shared" ca="1" si="98"/>
        <v>28.97684399356179</v>
      </c>
      <c r="H213" s="307">
        <f t="shared" ca="1" si="99"/>
        <v>125.00623660523856</v>
      </c>
      <c r="I213" s="304">
        <f t="shared" ca="1" si="100"/>
        <v>128.32075700381486</v>
      </c>
      <c r="J213" s="306">
        <f t="shared" ca="1" si="101"/>
        <v>28.700613242445176</v>
      </c>
      <c r="K213" s="307">
        <f t="shared" ca="1" si="102"/>
        <v>133.46890844846675</v>
      </c>
      <c r="L213" s="304">
        <f t="shared" ca="1" si="87"/>
        <v>136.51986933379925</v>
      </c>
      <c r="M213" s="306">
        <f t="shared" ca="1" si="103"/>
        <v>1.343016024203332</v>
      </c>
      <c r="N213" s="304">
        <f t="shared" ca="1" si="104"/>
        <v>76.949150005290548</v>
      </c>
      <c r="P213" s="310">
        <f t="shared" ca="1" si="105"/>
        <v>8</v>
      </c>
      <c r="Q213" s="304">
        <f t="shared" ca="1" si="106"/>
        <v>896.36388888888894</v>
      </c>
      <c r="R213" s="306">
        <f t="shared" ca="1" si="107"/>
        <v>0.44901758943235903</v>
      </c>
      <c r="S213" s="307">
        <f t="shared" ca="1" si="108"/>
        <v>13.243759475117965</v>
      </c>
      <c r="T213" s="304">
        <f t="shared" ca="1" si="88"/>
        <v>129.92128045090723</v>
      </c>
      <c r="U213" s="311">
        <f t="shared" ca="1" si="89"/>
        <v>0</v>
      </c>
      <c r="V213" s="306">
        <f t="shared" ca="1" si="90"/>
        <v>1.2087584458403229</v>
      </c>
      <c r="W213" s="304">
        <f t="shared" ca="1" si="91"/>
        <v>45.44995842260186</v>
      </c>
      <c r="Y213" s="314" t="str">
        <f t="shared" ca="1" si="109"/>
        <v/>
      </c>
      <c r="Z213" s="315" t="str">
        <f t="shared" ca="1" si="110"/>
        <v/>
      </c>
      <c r="AA213" s="316" t="str">
        <f t="shared" ca="1" si="111"/>
        <v/>
      </c>
      <c r="AC213" s="310" t="e">
        <f t="shared" ca="1" si="112"/>
        <v>#N/A</v>
      </c>
      <c r="AD213" s="323" t="e">
        <f t="shared" ca="1" si="113"/>
        <v>#N/A</v>
      </c>
      <c r="AE213" s="324">
        <f t="shared" ca="1" si="92"/>
        <v>133.46890844846675</v>
      </c>
      <c r="AG213" s="306">
        <f t="shared" ca="1" si="114"/>
        <v>54.721972775524733</v>
      </c>
      <c r="AH213" s="304">
        <f t="shared" ca="1" si="115"/>
        <v>64.278962840016845</v>
      </c>
    </row>
    <row r="214" spans="1:34" x14ac:dyDescent="0.25">
      <c r="A214" s="347">
        <f t="shared" ca="1" si="93"/>
        <v>0.01</v>
      </c>
      <c r="B214" s="304">
        <f t="shared" ca="1" si="94"/>
        <v>2.0999999999999992</v>
      </c>
      <c r="D214" s="306">
        <f t="shared" ca="1" si="95"/>
        <v>14.489070993048719</v>
      </c>
      <c r="E214" s="307">
        <f t="shared" ca="1" si="96"/>
        <v>52.69591807546648</v>
      </c>
      <c r="F214" s="304">
        <f t="shared" ca="1" si="97"/>
        <v>54.651559539119106</v>
      </c>
      <c r="G214" s="306">
        <f t="shared" ca="1" si="98"/>
        <v>29.121734703492276</v>
      </c>
      <c r="H214" s="307">
        <f t="shared" ca="1" si="99"/>
        <v>125.53319578599321</v>
      </c>
      <c r="I214" s="304">
        <f t="shared" ca="1" si="100"/>
        <v>128.86682535231901</v>
      </c>
      <c r="J214" s="306">
        <f t="shared" ca="1" si="101"/>
        <v>28.991106135930448</v>
      </c>
      <c r="K214" s="307">
        <f t="shared" ca="1" si="102"/>
        <v>134.7216056104229</v>
      </c>
      <c r="L214" s="304">
        <f t="shared" ca="1" si="87"/>
        <v>137.80564303842974</v>
      </c>
      <c r="M214" s="306">
        <f t="shared" ca="1" si="103"/>
        <v>1.3428441217600666</v>
      </c>
      <c r="N214" s="304">
        <f t="shared" ca="1" si="104"/>
        <v>76.939300720803445</v>
      </c>
      <c r="P214" s="310">
        <f t="shared" ca="1" si="105"/>
        <v>8</v>
      </c>
      <c r="Q214" s="304">
        <f t="shared" ca="1" si="106"/>
        <v>894.92500000000007</v>
      </c>
      <c r="R214" s="306">
        <f t="shared" ca="1" si="107"/>
        <v>0.44829680356809271</v>
      </c>
      <c r="S214" s="307">
        <f t="shared" ca="1" si="108"/>
        <v>13.239276507082284</v>
      </c>
      <c r="T214" s="304">
        <f t="shared" ca="1" si="88"/>
        <v>129.87730253447722</v>
      </c>
      <c r="U214" s="311">
        <f t="shared" ca="1" si="89"/>
        <v>0</v>
      </c>
      <c r="V214" s="306">
        <f t="shared" ca="1" si="90"/>
        <v>1.2086070276902383</v>
      </c>
      <c r="W214" s="304">
        <f t="shared" ca="1" si="91"/>
        <v>45.831863672191389</v>
      </c>
      <c r="Y214" s="314" t="str">
        <f t="shared" ca="1" si="109"/>
        <v/>
      </c>
      <c r="Z214" s="315" t="str">
        <f t="shared" ca="1" si="110"/>
        <v/>
      </c>
      <c r="AA214" s="316" t="str">
        <f t="shared" ca="1" si="111"/>
        <v/>
      </c>
      <c r="AC214" s="310" t="e">
        <f t="shared" ca="1" si="112"/>
        <v>#N/A</v>
      </c>
      <c r="AD214" s="323" t="e">
        <f t="shared" ca="1" si="113"/>
        <v>#N/A</v>
      </c>
      <c r="AE214" s="324">
        <f t="shared" ca="1" si="92"/>
        <v>134.7216056104229</v>
      </c>
      <c r="AG214" s="306">
        <f t="shared" ca="1" si="114"/>
        <v>54.606644446782113</v>
      </c>
      <c r="AH214" s="304">
        <f t="shared" ca="1" si="115"/>
        <v>64.163252510284522</v>
      </c>
    </row>
    <row r="215" spans="1:34" x14ac:dyDescent="0.25">
      <c r="A215" s="347">
        <f t="shared" ca="1" si="93"/>
        <v>0.01</v>
      </c>
      <c r="B215" s="304">
        <f t="shared" ca="1" si="94"/>
        <v>2.109999999999999</v>
      </c>
      <c r="D215" s="306">
        <f t="shared" ca="1" si="95"/>
        <v>14.473629347193432</v>
      </c>
      <c r="E215" s="307">
        <f t="shared" ca="1" si="96"/>
        <v>52.580546616621874</v>
      </c>
      <c r="F215" s="304">
        <f t="shared" ca="1" si="97"/>
        <v>54.536224924197718</v>
      </c>
      <c r="G215" s="306">
        <f t="shared" ca="1" si="98"/>
        <v>29.266470996964209</v>
      </c>
      <c r="H215" s="307">
        <f t="shared" ca="1" si="99"/>
        <v>126.05900125215943</v>
      </c>
      <c r="I215" s="304">
        <f t="shared" ca="1" si="100"/>
        <v>129.41173873071978</v>
      </c>
      <c r="J215" s="306">
        <f t="shared" ca="1" si="101"/>
        <v>29.28304716443273</v>
      </c>
      <c r="K215" s="307">
        <f t="shared" ca="1" si="102"/>
        <v>135.97956659561365</v>
      </c>
      <c r="L215" s="304">
        <f t="shared" ca="1" si="87"/>
        <v>139.09687049953826</v>
      </c>
      <c r="M215" s="306">
        <f t="shared" ca="1" si="103"/>
        <v>1.3426728162041253</v>
      </c>
      <c r="N215" s="304">
        <f t="shared" ca="1" si="104"/>
        <v>76.929485635440869</v>
      </c>
      <c r="P215" s="310">
        <f t="shared" ca="1" si="105"/>
        <v>8</v>
      </c>
      <c r="Q215" s="304">
        <f t="shared" ca="1" si="106"/>
        <v>893.4861111111112</v>
      </c>
      <c r="R215" s="306">
        <f t="shared" ca="1" si="107"/>
        <v>0.44757601770382643</v>
      </c>
      <c r="S215" s="307">
        <f t="shared" ca="1" si="108"/>
        <v>13.234800746905245</v>
      </c>
      <c r="T215" s="304">
        <f t="shared" ca="1" si="88"/>
        <v>129.83339532714047</v>
      </c>
      <c r="U215" s="311">
        <f t="shared" ca="1" si="89"/>
        <v>0</v>
      </c>
      <c r="V215" s="306">
        <f t="shared" ca="1" si="90"/>
        <v>1.2084549922412551</v>
      </c>
      <c r="W215" s="304">
        <f t="shared" ca="1" si="91"/>
        <v>46.214469000120133</v>
      </c>
      <c r="Y215" s="314" t="str">
        <f t="shared" ca="1" si="109"/>
        <v/>
      </c>
      <c r="Z215" s="315" t="str">
        <f t="shared" ca="1" si="110"/>
        <v/>
      </c>
      <c r="AA215" s="316" t="str">
        <f t="shared" ca="1" si="111"/>
        <v/>
      </c>
      <c r="AC215" s="310" t="e">
        <f t="shared" ca="1" si="112"/>
        <v>#N/A</v>
      </c>
      <c r="AD215" s="323" t="e">
        <f t="shared" ca="1" si="113"/>
        <v>#N/A</v>
      </c>
      <c r="AE215" s="324">
        <f t="shared" ca="1" si="92"/>
        <v>135.97956659561365</v>
      </c>
      <c r="AG215" s="306">
        <f t="shared" ca="1" si="114"/>
        <v>54.491147956864118</v>
      </c>
      <c r="AH215" s="304">
        <f t="shared" ca="1" si="115"/>
        <v>64.047375071901314</v>
      </c>
    </row>
    <row r="216" spans="1:34" x14ac:dyDescent="0.25">
      <c r="A216" s="347">
        <f t="shared" ca="1" si="93"/>
        <v>0.01</v>
      </c>
      <c r="B216" s="304">
        <f t="shared" ca="1" si="94"/>
        <v>2.1199999999999988</v>
      </c>
      <c r="D216" s="306">
        <f t="shared" ca="1" si="95"/>
        <v>14.458073719803721</v>
      </c>
      <c r="E216" s="307">
        <f t="shared" ca="1" si="96"/>
        <v>52.465029105408874</v>
      </c>
      <c r="F216" s="304">
        <f t="shared" ca="1" si="97"/>
        <v>54.420723761437422</v>
      </c>
      <c r="G216" s="306">
        <f t="shared" ca="1" si="98"/>
        <v>29.411051734162246</v>
      </c>
      <c r="H216" s="307">
        <f t="shared" ca="1" si="99"/>
        <v>126.58365154321352</v>
      </c>
      <c r="I216" s="304">
        <f t="shared" ca="1" si="100"/>
        <v>129.95549546719167</v>
      </c>
      <c r="J216" s="306">
        <f t="shared" ca="1" si="101"/>
        <v>29.576434778088363</v>
      </c>
      <c r="K216" s="307">
        <f t="shared" ca="1" si="102"/>
        <v>137.24277985959051</v>
      </c>
      <c r="L216" s="304">
        <f t="shared" ca="1" si="87"/>
        <v>140.39354015684103</v>
      </c>
      <c r="M216" s="306">
        <f t="shared" ca="1" si="103"/>
        <v>1.3425021014545042</v>
      </c>
      <c r="N216" s="304">
        <f t="shared" ca="1" si="104"/>
        <v>76.919704400786955</v>
      </c>
      <c r="P216" s="310">
        <f t="shared" ca="1" si="105"/>
        <v>8</v>
      </c>
      <c r="Q216" s="304">
        <f t="shared" ca="1" si="106"/>
        <v>892.04722222222233</v>
      </c>
      <c r="R216" s="306">
        <f t="shared" ca="1" si="107"/>
        <v>0.44685523183956011</v>
      </c>
      <c r="S216" s="307">
        <f t="shared" ca="1" si="108"/>
        <v>13.23033219458685</v>
      </c>
      <c r="T216" s="304">
        <f t="shared" ca="1" si="88"/>
        <v>129.78955882889701</v>
      </c>
      <c r="U216" s="311">
        <f t="shared" ca="1" si="89"/>
        <v>0</v>
      </c>
      <c r="V216" s="306">
        <f t="shared" ca="1" si="90"/>
        <v>1.2083023411232698</v>
      </c>
      <c r="W216" s="304">
        <f t="shared" ca="1" si="91"/>
        <v>46.59776194638669</v>
      </c>
      <c r="Y216" s="314" t="str">
        <f t="shared" ca="1" si="109"/>
        <v/>
      </c>
      <c r="Z216" s="315" t="str">
        <f t="shared" ca="1" si="110"/>
        <v/>
      </c>
      <c r="AA216" s="316" t="str">
        <f t="shared" ca="1" si="111"/>
        <v/>
      </c>
      <c r="AC216" s="310" t="e">
        <f t="shared" ca="1" si="112"/>
        <v>#N/A</v>
      </c>
      <c r="AD216" s="323" t="e">
        <f t="shared" ca="1" si="113"/>
        <v>#N/A</v>
      </c>
      <c r="AE216" s="324">
        <f t="shared" ca="1" si="92"/>
        <v>137.24277985959051</v>
      </c>
      <c r="AG216" s="306">
        <f t="shared" ca="1" si="114"/>
        <v>54.375484279120663</v>
      </c>
      <c r="AH216" s="304">
        <f t="shared" ca="1" si="115"/>
        <v>63.931331487517149</v>
      </c>
    </row>
    <row r="217" spans="1:34" x14ac:dyDescent="0.25">
      <c r="A217" s="347">
        <f t="shared" ca="1" si="93"/>
        <v>0.01</v>
      </c>
      <c r="B217" s="304">
        <f t="shared" ca="1" si="94"/>
        <v>2.1299999999999986</v>
      </c>
      <c r="D217" s="306">
        <f t="shared" ca="1" si="95"/>
        <v>14.442404832581387</v>
      </c>
      <c r="E217" s="307">
        <f t="shared" ca="1" si="96"/>
        <v>52.349366393892062</v>
      </c>
      <c r="F217" s="304">
        <f t="shared" ca="1" si="97"/>
        <v>54.305057031460024</v>
      </c>
      <c r="G217" s="306">
        <f t="shared" ca="1" si="98"/>
        <v>29.55547578248806</v>
      </c>
      <c r="H217" s="307">
        <f t="shared" ca="1" si="99"/>
        <v>127.10714520715244</v>
      </c>
      <c r="I217" s="304">
        <f t="shared" ca="1" si="100"/>
        <v>130.4980938996481</v>
      </c>
      <c r="J217" s="306">
        <f t="shared" ca="1" si="101"/>
        <v>29.871267415671614</v>
      </c>
      <c r="K217" s="307">
        <f t="shared" ca="1" si="102"/>
        <v>138.51123384334235</v>
      </c>
      <c r="L217" s="304">
        <f t="shared" ca="1" si="87"/>
        <v>141.69564043337266</v>
      </c>
      <c r="M217" s="306">
        <f t="shared" ca="1" si="103"/>
        <v>1.3423319715152557</v>
      </c>
      <c r="N217" s="304">
        <f t="shared" ca="1" si="104"/>
        <v>76.909956673299192</v>
      </c>
      <c r="P217" s="310">
        <f t="shared" ca="1" si="105"/>
        <v>8</v>
      </c>
      <c r="Q217" s="304">
        <f t="shared" ca="1" si="106"/>
        <v>890.60833333333346</v>
      </c>
      <c r="R217" s="306">
        <f t="shared" ca="1" si="107"/>
        <v>0.44613444597529378</v>
      </c>
      <c r="S217" s="307">
        <f t="shared" ca="1" si="108"/>
        <v>13.225870850127098</v>
      </c>
      <c r="T217" s="304">
        <f t="shared" ca="1" si="88"/>
        <v>129.74579303974684</v>
      </c>
      <c r="U217" s="311">
        <f t="shared" ca="1" si="89"/>
        <v>0</v>
      </c>
      <c r="V217" s="306">
        <f t="shared" ca="1" si="90"/>
        <v>1.2081490759681432</v>
      </c>
      <c r="W217" s="304">
        <f t="shared" ca="1" si="91"/>
        <v>46.981730065621313</v>
      </c>
      <c r="Y217" s="314" t="str">
        <f t="shared" ca="1" si="109"/>
        <v/>
      </c>
      <c r="Z217" s="315" t="str">
        <f t="shared" ca="1" si="110"/>
        <v/>
      </c>
      <c r="AA217" s="316" t="str">
        <f t="shared" ca="1" si="111"/>
        <v/>
      </c>
      <c r="AC217" s="310" t="e">
        <f t="shared" ca="1" si="112"/>
        <v>#N/A</v>
      </c>
      <c r="AD217" s="323" t="e">
        <f t="shared" ca="1" si="113"/>
        <v>#N/A</v>
      </c>
      <c r="AE217" s="324">
        <f t="shared" ca="1" si="92"/>
        <v>138.51123384334235</v>
      </c>
      <c r="AG217" s="306">
        <f t="shared" ca="1" si="114"/>
        <v>54.259654387523618</v>
      </c>
      <c r="AH217" s="304">
        <f t="shared" ca="1" si="115"/>
        <v>63.815122720545546</v>
      </c>
    </row>
    <row r="218" spans="1:34" x14ac:dyDescent="0.25">
      <c r="A218" s="347">
        <f t="shared" ca="1" si="93"/>
        <v>0.01</v>
      </c>
      <c r="B218" s="304">
        <f t="shared" ca="1" si="94"/>
        <v>2.1399999999999983</v>
      </c>
      <c r="D218" s="306">
        <f t="shared" ca="1" si="95"/>
        <v>14.42662340048652</v>
      </c>
      <c r="E218" s="307">
        <f t="shared" ca="1" si="96"/>
        <v>52.233559336001179</v>
      </c>
      <c r="F218" s="304">
        <f t="shared" ca="1" si="97"/>
        <v>54.189225715514894</v>
      </c>
      <c r="G218" s="306">
        <f t="shared" ca="1" si="98"/>
        <v>29.699742016492923</v>
      </c>
      <c r="H218" s="307">
        <f t="shared" ca="1" si="99"/>
        <v>127.62948080051245</v>
      </c>
      <c r="I218" s="304">
        <f t="shared" ca="1" si="100"/>
        <v>131.03953237574763</v>
      </c>
      <c r="J218" s="306">
        <f t="shared" ca="1" si="101"/>
        <v>30.167543504666519</v>
      </c>
      <c r="K218" s="307">
        <f t="shared" ca="1" si="102"/>
        <v>139.78491697338069</v>
      </c>
      <c r="L218" s="304">
        <f t="shared" ca="1" si="87"/>
        <v>143.00315973558375</v>
      </c>
      <c r="M218" s="306">
        <f t="shared" ca="1" si="103"/>
        <v>1.3421624204738651</v>
      </c>
      <c r="N218" s="304">
        <f t="shared" ca="1" si="104"/>
        <v>76.900242114215459</v>
      </c>
      <c r="P218" s="310">
        <f t="shared" ca="1" si="105"/>
        <v>8</v>
      </c>
      <c r="Q218" s="304">
        <f t="shared" ca="1" si="106"/>
        <v>889.16944444444459</v>
      </c>
      <c r="R218" s="306">
        <f t="shared" ca="1" si="107"/>
        <v>0.44541366011102751</v>
      </c>
      <c r="S218" s="307">
        <f t="shared" ca="1" si="108"/>
        <v>13.221416713525988</v>
      </c>
      <c r="T218" s="304">
        <f t="shared" ca="1" si="88"/>
        <v>129.70209795968995</v>
      </c>
      <c r="U218" s="311">
        <f t="shared" ca="1" si="89"/>
        <v>0</v>
      </c>
      <c r="V218" s="306">
        <f t="shared" ca="1" si="90"/>
        <v>1.2079951984096833</v>
      </c>
      <c r="W218" s="304">
        <f t="shared" ca="1" si="91"/>
        <v>47.366360927409396</v>
      </c>
      <c r="Y218" s="314" t="str">
        <f t="shared" ca="1" si="109"/>
        <v/>
      </c>
      <c r="Z218" s="315" t="str">
        <f t="shared" ca="1" si="110"/>
        <v/>
      </c>
      <c r="AA218" s="316" t="str">
        <f t="shared" ca="1" si="111"/>
        <v/>
      </c>
      <c r="AC218" s="310" t="e">
        <f t="shared" ca="1" si="112"/>
        <v>#N/A</v>
      </c>
      <c r="AD218" s="323" t="e">
        <f t="shared" ca="1" si="113"/>
        <v>#N/A</v>
      </c>
      <c r="AE218" s="324">
        <f t="shared" ca="1" si="92"/>
        <v>139.78491697338069</v>
      </c>
      <c r="AG218" s="306">
        <f t="shared" ca="1" si="114"/>
        <v>54.143659256640859</v>
      </c>
      <c r="AH218" s="304">
        <f t="shared" ca="1" si="115"/>
        <v>63.698749735135024</v>
      </c>
    </row>
    <row r="219" spans="1:34" x14ac:dyDescent="0.25">
      <c r="A219" s="347">
        <f t="shared" ca="1" si="93"/>
        <v>0.01</v>
      </c>
      <c r="B219" s="304">
        <f t="shared" ca="1" si="94"/>
        <v>2.1499999999999981</v>
      </c>
      <c r="D219" s="306">
        <f t="shared" ca="1" si="95"/>
        <v>14.410730131867048</v>
      </c>
      <c r="E219" s="307">
        <f t="shared" ca="1" si="96"/>
        <v>52.117608787481167</v>
      </c>
      <c r="F219" s="304">
        <f t="shared" ca="1" si="97"/>
        <v>54.073230795454002</v>
      </c>
      <c r="G219" s="306">
        <f t="shared" ca="1" si="98"/>
        <v>29.843849317811593</v>
      </c>
      <c r="H219" s="307">
        <f t="shared" ca="1" si="99"/>
        <v>128.15065688838726</v>
      </c>
      <c r="I219" s="304">
        <f t="shared" ca="1" si="100"/>
        <v>131.57980925289945</v>
      </c>
      <c r="J219" s="306">
        <f t="shared" ca="1" si="101"/>
        <v>30.465261461338041</v>
      </c>
      <c r="K219" s="307">
        <f t="shared" ca="1" si="102"/>
        <v>141.0638176618252</v>
      </c>
      <c r="L219" s="304">
        <f t="shared" ca="1" si="87"/>
        <v>144.31608645343857</v>
      </c>
      <c r="M219" s="306">
        <f t="shared" ca="1" si="103"/>
        <v>1.3419934424996669</v>
      </c>
      <c r="N219" s="304">
        <f t="shared" ca="1" si="104"/>
        <v>76.890560389463232</v>
      </c>
      <c r="P219" s="310">
        <f t="shared" ca="1" si="105"/>
        <v>8</v>
      </c>
      <c r="Q219" s="304">
        <f t="shared" ca="1" si="106"/>
        <v>887.73055555555584</v>
      </c>
      <c r="R219" s="306">
        <f t="shared" ca="1" si="107"/>
        <v>0.44469287424676124</v>
      </c>
      <c r="S219" s="307">
        <f t="shared" ca="1" si="108"/>
        <v>13.216969784783521</v>
      </c>
      <c r="T219" s="304">
        <f t="shared" ca="1" si="88"/>
        <v>129.65847358872634</v>
      </c>
      <c r="U219" s="311">
        <f t="shared" ca="1" si="89"/>
        <v>0</v>
      </c>
      <c r="V219" s="306">
        <f t="shared" ca="1" si="90"/>
        <v>1.2078407100836248</v>
      </c>
      <c r="W219" s="304">
        <f t="shared" ca="1" si="91"/>
        <v>47.751642116612906</v>
      </c>
      <c r="Y219" s="314" t="str">
        <f t="shared" ca="1" si="109"/>
        <v/>
      </c>
      <c r="Z219" s="315" t="str">
        <f t="shared" ca="1" si="110"/>
        <v/>
      </c>
      <c r="AA219" s="316" t="str">
        <f t="shared" ca="1" si="111"/>
        <v/>
      </c>
      <c r="AC219" s="310" t="e">
        <f t="shared" ca="1" si="112"/>
        <v>#N/A</v>
      </c>
      <c r="AD219" s="323" t="e">
        <f t="shared" ca="1" si="113"/>
        <v>#N/A</v>
      </c>
      <c r="AE219" s="324">
        <f t="shared" ca="1" si="92"/>
        <v>141.0638176618252</v>
      </c>
      <c r="AG219" s="306">
        <f t="shared" ca="1" si="114"/>
        <v>54.027499861610416</v>
      </c>
      <c r="AH219" s="304">
        <f t="shared" ca="1" si="115"/>
        <v>63.582213496140689</v>
      </c>
    </row>
    <row r="220" spans="1:34" x14ac:dyDescent="0.25">
      <c r="A220" s="347">
        <f t="shared" ca="1" si="93"/>
        <v>0.01</v>
      </c>
      <c r="B220" s="304">
        <f t="shared" ca="1" si="94"/>
        <v>2.1599999999999979</v>
      </c>
      <c r="D220" s="306">
        <f t="shared" ca="1" si="95"/>
        <v>14.394725728584939</v>
      </c>
      <c r="E220" s="307">
        <f t="shared" ca="1" si="96"/>
        <v>52.001515605842691</v>
      </c>
      <c r="F220" s="304">
        <f t="shared" ca="1" si="97"/>
        <v>53.957073253706838</v>
      </c>
      <c r="G220" s="306">
        <f t="shared" ca="1" si="98"/>
        <v>29.987796575097441</v>
      </c>
      <c r="H220" s="307">
        <f t="shared" ca="1" si="99"/>
        <v>128.67067204444569</v>
      </c>
      <c r="I220" s="304">
        <f t="shared" ca="1" si="100"/>
        <v>132.11892289826892</v>
      </c>
      <c r="J220" s="306">
        <f t="shared" ca="1" si="101"/>
        <v>30.764419690802587</v>
      </c>
      <c r="K220" s="307">
        <f t="shared" ca="1" si="102"/>
        <v>142.34792430648938</v>
      </c>
      <c r="L220" s="304">
        <f t="shared" ca="1" si="87"/>
        <v>145.63440896051273</v>
      </c>
      <c r="M220" s="306">
        <f t="shared" ca="1" si="103"/>
        <v>1.3418250318422966</v>
      </c>
      <c r="N220" s="304">
        <f t="shared" ca="1" si="104"/>
        <v>76.880911169570894</v>
      </c>
      <c r="P220" s="310">
        <f t="shared" ca="1" si="105"/>
        <v>8</v>
      </c>
      <c r="Q220" s="304">
        <f t="shared" ca="1" si="106"/>
        <v>886.29166666666697</v>
      </c>
      <c r="R220" s="306">
        <f t="shared" ca="1" si="107"/>
        <v>0.44397208838249497</v>
      </c>
      <c r="S220" s="307">
        <f t="shared" ca="1" si="108"/>
        <v>13.212530063899695</v>
      </c>
      <c r="T220" s="304">
        <f t="shared" ca="1" si="88"/>
        <v>129.61491992685603</v>
      </c>
      <c r="U220" s="311">
        <f t="shared" ca="1" si="89"/>
        <v>0</v>
      </c>
      <c r="V220" s="306">
        <f t="shared" ca="1" si="90"/>
        <v>1.2076856126276101</v>
      </c>
      <c r="W220" s="304">
        <f t="shared" ca="1" si="91"/>
        <v>48.137561233690569</v>
      </c>
      <c r="Y220" s="314" t="str">
        <f t="shared" ca="1" si="109"/>
        <v/>
      </c>
      <c r="Z220" s="315" t="str">
        <f t="shared" ca="1" si="110"/>
        <v/>
      </c>
      <c r="AA220" s="316" t="str">
        <f t="shared" ca="1" si="111"/>
        <v/>
      </c>
      <c r="AC220" s="310" t="e">
        <f t="shared" ca="1" si="112"/>
        <v>#N/A</v>
      </c>
      <c r="AD220" s="323" t="e">
        <f t="shared" ca="1" si="113"/>
        <v>#N/A</v>
      </c>
      <c r="AE220" s="324">
        <f t="shared" ca="1" si="92"/>
        <v>142.34792430648938</v>
      </c>
      <c r="AG220" s="306">
        <f t="shared" ca="1" si="114"/>
        <v>53.911177178114542</v>
      </c>
      <c r="AH220" s="304">
        <f t="shared" ca="1" si="115"/>
        <v>63.465514969095778</v>
      </c>
    </row>
    <row r="221" spans="1:34" x14ac:dyDescent="0.25">
      <c r="A221" s="347">
        <f t="shared" ca="1" si="93"/>
        <v>0.01</v>
      </c>
      <c r="B221" s="304">
        <f t="shared" ca="1" si="94"/>
        <v>2.1699999999999977</v>
      </c>
      <c r="D221" s="306">
        <f t="shared" ca="1" si="95"/>
        <v>14.3786108861394</v>
      </c>
      <c r="E221" s="307">
        <f t="shared" ca="1" si="96"/>
        <v>51.885280650313298</v>
      </c>
      <c r="F221" s="304">
        <f t="shared" ca="1" si="97"/>
        <v>53.840754073255525</v>
      </c>
      <c r="G221" s="306">
        <f t="shared" ca="1" si="98"/>
        <v>30.131582683958836</v>
      </c>
      <c r="H221" s="307">
        <f t="shared" ca="1" si="99"/>
        <v>129.18952485094883</v>
      </c>
      <c r="I221" s="304">
        <f t="shared" ca="1" si="100"/>
        <v>132.65687168878276</v>
      </c>
      <c r="J221" s="306">
        <f t="shared" ca="1" si="101"/>
        <v>31.065016587097869</v>
      </c>
      <c r="K221" s="307">
        <f t="shared" ca="1" si="102"/>
        <v>143.63722529096634</v>
      </c>
      <c r="L221" s="304">
        <f t="shared" ca="1" si="87"/>
        <v>146.95811561409081</v>
      </c>
      <c r="M221" s="306">
        <f t="shared" ca="1" si="103"/>
        <v>1.3416571828301815</v>
      </c>
      <c r="N221" s="304">
        <f t="shared" ca="1" si="104"/>
        <v>76.871294129581258</v>
      </c>
      <c r="P221" s="310">
        <f t="shared" ca="1" si="105"/>
        <v>8</v>
      </c>
      <c r="Q221" s="304">
        <f t="shared" ca="1" si="106"/>
        <v>884.8527777777781</v>
      </c>
      <c r="R221" s="306">
        <f t="shared" ca="1" si="107"/>
        <v>0.44325130251822864</v>
      </c>
      <c r="S221" s="307">
        <f t="shared" ca="1" si="108"/>
        <v>13.208097550874513</v>
      </c>
      <c r="T221" s="304">
        <f t="shared" ca="1" si="88"/>
        <v>129.57143697407898</v>
      </c>
      <c r="U221" s="311">
        <f t="shared" ca="1" si="89"/>
        <v>0</v>
      </c>
      <c r="V221" s="306">
        <f t="shared" ca="1" si="90"/>
        <v>1.2075299076811692</v>
      </c>
      <c r="W221" s="304">
        <f t="shared" ca="1" si="91"/>
        <v>48.524105895016696</v>
      </c>
      <c r="Y221" s="314" t="str">
        <f t="shared" ca="1" si="109"/>
        <v/>
      </c>
      <c r="Z221" s="315" t="str">
        <f t="shared" ca="1" si="110"/>
        <v/>
      </c>
      <c r="AA221" s="316" t="str">
        <f t="shared" ca="1" si="111"/>
        <v/>
      </c>
      <c r="AC221" s="310" t="e">
        <f t="shared" ca="1" si="112"/>
        <v>#N/A</v>
      </c>
      <c r="AD221" s="323" t="e">
        <f t="shared" ca="1" si="113"/>
        <v>#N/A</v>
      </c>
      <c r="AE221" s="324">
        <f t="shared" ca="1" si="92"/>
        <v>143.63722529096634</v>
      </c>
      <c r="AG221" s="306">
        <f t="shared" ca="1" si="114"/>
        <v>53.794692182353842</v>
      </c>
      <c r="AH221" s="304">
        <f t="shared" ca="1" si="115"/>
        <v>63.348655120183324</v>
      </c>
    </row>
    <row r="222" spans="1:34" x14ac:dyDescent="0.25">
      <c r="A222" s="347">
        <f t="shared" ca="1" si="93"/>
        <v>0.01</v>
      </c>
      <c r="B222" s="304">
        <f t="shared" ca="1" si="94"/>
        <v>2.1799999999999975</v>
      </c>
      <c r="D222" s="306">
        <f t="shared" ca="1" si="95"/>
        <v>14.36238629378686</v>
      </c>
      <c r="E222" s="307">
        <f t="shared" ca="1" si="96"/>
        <v>51.768904781789018</v>
      </c>
      <c r="F222" s="304">
        <f t="shared" ca="1" si="97"/>
        <v>53.724274237609713</v>
      </c>
      <c r="G222" s="306">
        <f t="shared" ca="1" si="98"/>
        <v>30.275206546896705</v>
      </c>
      <c r="H222" s="307">
        <f t="shared" ca="1" si="99"/>
        <v>129.70721389876672</v>
      </c>
      <c r="I222" s="304">
        <f t="shared" ca="1" si="100"/>
        <v>133.19365401113404</v>
      </c>
      <c r="J222" s="306">
        <f t="shared" ca="1" si="101"/>
        <v>31.367050533252147</v>
      </c>
      <c r="K222" s="307">
        <f t="shared" ca="1" si="102"/>
        <v>144.93170898471493</v>
      </c>
      <c r="L222" s="304">
        <f t="shared" ca="1" si="87"/>
        <v>148.28719475526432</v>
      </c>
      <c r="M222" s="306">
        <f t="shared" ca="1" si="103"/>
        <v>1.3414898898690666</v>
      </c>
      <c r="N222" s="304">
        <f t="shared" ca="1" si="104"/>
        <v>76.86170894896712</v>
      </c>
      <c r="P222" s="310">
        <f t="shared" ca="1" si="105"/>
        <v>8</v>
      </c>
      <c r="Q222" s="304">
        <f t="shared" ca="1" si="106"/>
        <v>883.41388888888923</v>
      </c>
      <c r="R222" s="306">
        <f t="shared" ca="1" si="107"/>
        <v>0.44253051665396231</v>
      </c>
      <c r="S222" s="307">
        <f t="shared" ca="1" si="108"/>
        <v>13.203672245707972</v>
      </c>
      <c r="T222" s="304">
        <f t="shared" ca="1" si="88"/>
        <v>129.5280247303952</v>
      </c>
      <c r="U222" s="311">
        <f t="shared" ca="1" si="89"/>
        <v>0</v>
      </c>
      <c r="V222" s="306">
        <f t="shared" ca="1" si="90"/>
        <v>1.2073735968857031</v>
      </c>
      <c r="W222" s="304">
        <f t="shared" ca="1" si="91"/>
        <v>48.911263733198389</v>
      </c>
      <c r="Y222" s="314" t="str">
        <f t="shared" ca="1" si="109"/>
        <v/>
      </c>
      <c r="Z222" s="315" t="str">
        <f t="shared" ca="1" si="110"/>
        <v/>
      </c>
      <c r="AA222" s="316" t="str">
        <f t="shared" ca="1" si="111"/>
        <v/>
      </c>
      <c r="AC222" s="310" t="e">
        <f t="shared" ca="1" si="112"/>
        <v>#N/A</v>
      </c>
      <c r="AD222" s="323" t="e">
        <f t="shared" ca="1" si="113"/>
        <v>#N/A</v>
      </c>
      <c r="AE222" s="324">
        <f t="shared" ca="1" si="92"/>
        <v>144.93170898471493</v>
      </c>
      <c r="AG222" s="306">
        <f t="shared" ca="1" si="114"/>
        <v>53.678045851021309</v>
      </c>
      <c r="AH222" s="304">
        <f t="shared" ca="1" si="115"/>
        <v>63.231634916207838</v>
      </c>
    </row>
    <row r="223" spans="1:34" x14ac:dyDescent="0.25">
      <c r="A223" s="347">
        <f t="shared" ca="1" si="93"/>
        <v>0.01</v>
      </c>
      <c r="B223" s="304">
        <f t="shared" ca="1" si="94"/>
        <v>2.1899999999999973</v>
      </c>
      <c r="D223" s="306">
        <f t="shared" ca="1" si="95"/>
        <v>14.34605263465795</v>
      </c>
      <c r="E223" s="307">
        <f t="shared" ca="1" si="96"/>
        <v>51.652388862786516</v>
      </c>
      <c r="F223" s="304">
        <f t="shared" ca="1" si="97"/>
        <v>53.607634730781477</v>
      </c>
      <c r="G223" s="306">
        <f t="shared" ca="1" si="98"/>
        <v>30.418667073243284</v>
      </c>
      <c r="H223" s="307">
        <f t="shared" ca="1" si="99"/>
        <v>130.22373778739458</v>
      </c>
      <c r="I223" s="304">
        <f t="shared" ca="1" si="100"/>
        <v>133.72926826178673</v>
      </c>
      <c r="J223" s="306">
        <f t="shared" ca="1" si="101"/>
        <v>31.670519901352847</v>
      </c>
      <c r="K223" s="307">
        <f t="shared" ca="1" si="102"/>
        <v>146.23136374314575</v>
      </c>
      <c r="L223" s="304">
        <f t="shared" ca="1" si="87"/>
        <v>149.62163470902925</v>
      </c>
      <c r="M223" s="306">
        <f t="shared" ca="1" si="103"/>
        <v>1.3413231474405716</v>
      </c>
      <c r="N223" s="304">
        <f t="shared" ca="1" si="104"/>
        <v>76.8521553115486</v>
      </c>
      <c r="P223" s="310">
        <f t="shared" ca="1" si="105"/>
        <v>8</v>
      </c>
      <c r="Q223" s="304">
        <f t="shared" ca="1" si="106"/>
        <v>881.97500000000036</v>
      </c>
      <c r="R223" s="306">
        <f t="shared" ca="1" si="107"/>
        <v>0.44180973078969604</v>
      </c>
      <c r="S223" s="307">
        <f t="shared" ca="1" si="108"/>
        <v>13.199254148400076</v>
      </c>
      <c r="T223" s="304">
        <f t="shared" ca="1" si="88"/>
        <v>129.48468319580476</v>
      </c>
      <c r="U223" s="311">
        <f t="shared" ca="1" si="89"/>
        <v>0</v>
      </c>
      <c r="V223" s="306">
        <f t="shared" ca="1" si="90"/>
        <v>1.2072166818844603</v>
      </c>
      <c r="W223" s="304">
        <f t="shared" ca="1" si="91"/>
        <v>49.299022397391113</v>
      </c>
      <c r="Y223" s="314" t="str">
        <f t="shared" ca="1" si="109"/>
        <v/>
      </c>
      <c r="Z223" s="315" t="str">
        <f t="shared" ca="1" si="110"/>
        <v/>
      </c>
      <c r="AA223" s="316" t="str">
        <f t="shared" ca="1" si="111"/>
        <v/>
      </c>
      <c r="AC223" s="310" t="e">
        <f t="shared" ca="1" si="112"/>
        <v>#N/A</v>
      </c>
      <c r="AD223" s="323" t="e">
        <f t="shared" ca="1" si="113"/>
        <v>#N/A</v>
      </c>
      <c r="AE223" s="324">
        <f t="shared" ca="1" si="92"/>
        <v>146.23136374314575</v>
      </c>
      <c r="AG223" s="306">
        <f t="shared" ca="1" si="114"/>
        <v>53.561239161276376</v>
      </c>
      <c r="AH223" s="304">
        <f t="shared" ca="1" si="115"/>
        <v>63.114455324566975</v>
      </c>
    </row>
    <row r="224" spans="1:34" x14ac:dyDescent="0.25">
      <c r="A224" s="347">
        <f t="shared" ca="1" si="93"/>
        <v>0.01</v>
      </c>
      <c r="B224" s="304">
        <f t="shared" ca="1" si="94"/>
        <v>2.1999999999999971</v>
      </c>
      <c r="D224" s="306">
        <f t="shared" ca="1" si="95"/>
        <v>14.329610585871839</v>
      </c>
      <c r="E224" s="307">
        <f t="shared" ca="1" si="96"/>
        <v>51.535733757395917</v>
      </c>
      <c r="F224" s="304">
        <f t="shared" ca="1" si="97"/>
        <v>53.490836537260542</v>
      </c>
      <c r="G224" s="306">
        <f t="shared" ca="1" si="98"/>
        <v>30.561963179102001</v>
      </c>
      <c r="H224" s="307">
        <f t="shared" ca="1" si="99"/>
        <v>130.73909512496854</v>
      </c>
      <c r="I224" s="304">
        <f t="shared" ca="1" si="100"/>
        <v>134.26371284698021</v>
      </c>
      <c r="J224" s="306">
        <f t="shared" ca="1" si="101"/>
        <v>31.975423052614573</v>
      </c>
      <c r="K224" s="307">
        <f t="shared" ca="1" si="102"/>
        <v>147.53617790770755</v>
      </c>
      <c r="L224" s="304">
        <f t="shared" ca="1" si="87"/>
        <v>150.96142378438412</v>
      </c>
      <c r="M224" s="306">
        <f t="shared" ca="1" si="103"/>
        <v>1.3411569501007867</v>
      </c>
      <c r="N224" s="304">
        <f t="shared" ca="1" si="104"/>
        <v>76.842632905412628</v>
      </c>
      <c r="P224" s="310">
        <f t="shared" ca="1" si="105"/>
        <v>8</v>
      </c>
      <c r="Q224" s="304">
        <f t="shared" ca="1" si="106"/>
        <v>880.5361111111115</v>
      </c>
      <c r="R224" s="306">
        <f t="shared" ca="1" si="107"/>
        <v>0.44108894492542972</v>
      </c>
      <c r="S224" s="307">
        <f t="shared" ca="1" si="108"/>
        <v>13.194843258950822</v>
      </c>
      <c r="T224" s="304">
        <f t="shared" ca="1" si="88"/>
        <v>129.44141237030757</v>
      </c>
      <c r="U224" s="311">
        <f t="shared" ca="1" si="89"/>
        <v>0</v>
      </c>
      <c r="V224" s="306">
        <f t="shared" ca="1" si="90"/>
        <v>1.2070591643225224</v>
      </c>
      <c r="W224" s="304">
        <f t="shared" ca="1" si="91"/>
        <v>49.687369553613053</v>
      </c>
      <c r="Y224" s="314" t="str">
        <f t="shared" ca="1" si="109"/>
        <v/>
      </c>
      <c r="Z224" s="315" t="str">
        <f t="shared" ca="1" si="110"/>
        <v/>
      </c>
      <c r="AA224" s="316" t="str">
        <f t="shared" ca="1" si="111"/>
        <v/>
      </c>
      <c r="AC224" s="310" t="e">
        <f t="shared" ca="1" si="112"/>
        <v>#N/A</v>
      </c>
      <c r="AD224" s="323" t="e">
        <f t="shared" ca="1" si="113"/>
        <v>#N/A</v>
      </c>
      <c r="AE224" s="324">
        <f t="shared" ca="1" si="92"/>
        <v>147.53617790770755</v>
      </c>
      <c r="AG224" s="306">
        <f t="shared" ca="1" si="114"/>
        <v>53.444273090719108</v>
      </c>
      <c r="AH224" s="304">
        <f t="shared" ca="1" si="115"/>
        <v>62.997117313223434</v>
      </c>
    </row>
    <row r="225" spans="1:34" x14ac:dyDescent="0.25">
      <c r="A225" s="347">
        <f t="shared" ca="1" si="93"/>
        <v>0.01</v>
      </c>
      <c r="B225" s="304">
        <f t="shared" ca="1" si="94"/>
        <v>2.2099999999999969</v>
      </c>
      <c r="D225" s="306">
        <f t="shared" ca="1" si="95"/>
        <v>14.313060818647406</v>
      </c>
      <c r="E225" s="307">
        <f t="shared" ca="1" si="96"/>
        <v>51.418940331233863</v>
      </c>
      <c r="F225" s="304">
        <f t="shared" ca="1" si="97"/>
        <v>53.373880641989004</v>
      </c>
      <c r="G225" s="306">
        <f t="shared" ca="1" si="98"/>
        <v>30.705093787288476</v>
      </c>
      <c r="H225" s="307">
        <f t="shared" ca="1" si="99"/>
        <v>131.25328452828089</v>
      </c>
      <c r="I225" s="304">
        <f t="shared" ca="1" si="100"/>
        <v>134.79698618273349</v>
      </c>
      <c r="J225" s="306">
        <f t="shared" ca="1" si="101"/>
        <v>32.281758337446526</v>
      </c>
      <c r="K225" s="307">
        <f t="shared" ca="1" si="102"/>
        <v>148.84613980597379</v>
      </c>
      <c r="L225" s="304">
        <f t="shared" ca="1" si="87"/>
        <v>152.30655027442776</v>
      </c>
      <c r="M225" s="306">
        <f t="shared" ca="1" si="103"/>
        <v>1.3409912924788971</v>
      </c>
      <c r="N225" s="304">
        <f t="shared" ca="1" si="104"/>
        <v>76.833141422834174</v>
      </c>
      <c r="P225" s="310">
        <f t="shared" ca="1" si="105"/>
        <v>8</v>
      </c>
      <c r="Q225" s="304">
        <f t="shared" ca="1" si="106"/>
        <v>879.09722222222263</v>
      </c>
      <c r="R225" s="306">
        <f t="shared" ca="1" si="107"/>
        <v>0.44036815906116339</v>
      </c>
      <c r="S225" s="307">
        <f t="shared" ca="1" si="108"/>
        <v>13.190439577360211</v>
      </c>
      <c r="T225" s="304">
        <f t="shared" ca="1" si="88"/>
        <v>129.39821225390367</v>
      </c>
      <c r="U225" s="311">
        <f t="shared" ca="1" si="89"/>
        <v>0</v>
      </c>
      <c r="V225" s="306">
        <f t="shared" ca="1" si="90"/>
        <v>1.2069010458467799</v>
      </c>
      <c r="W225" s="304">
        <f t="shared" ca="1" si="91"/>
        <v>50.076292885057732</v>
      </c>
      <c r="Y225" s="314" t="str">
        <f t="shared" ca="1" si="109"/>
        <v/>
      </c>
      <c r="Z225" s="315" t="str">
        <f t="shared" ca="1" si="110"/>
        <v/>
      </c>
      <c r="AA225" s="316" t="str">
        <f t="shared" ca="1" si="111"/>
        <v/>
      </c>
      <c r="AC225" s="310" t="e">
        <f t="shared" ca="1" si="112"/>
        <v>#N/A</v>
      </c>
      <c r="AD225" s="323" t="e">
        <f t="shared" ca="1" si="113"/>
        <v>#N/A</v>
      </c>
      <c r="AE225" s="324">
        <f t="shared" ca="1" si="92"/>
        <v>148.84613980597379</v>
      </c>
      <c r="AG225" s="306">
        <f t="shared" ca="1" si="114"/>
        <v>53.327148617364124</v>
      </c>
      <c r="AH225" s="304">
        <f t="shared" ca="1" si="115"/>
        <v>62.879621850676678</v>
      </c>
    </row>
    <row r="226" spans="1:34" x14ac:dyDescent="0.25">
      <c r="A226" s="347">
        <f t="shared" ca="1" si="93"/>
        <v>0.01</v>
      </c>
      <c r="B226" s="304">
        <f t="shared" ca="1" si="94"/>
        <v>2.2199999999999966</v>
      </c>
      <c r="D226" s="306">
        <f t="shared" ca="1" si="95"/>
        <v>14.296403998411925</v>
      </c>
      <c r="E226" s="307">
        <f t="shared" ca="1" si="96"/>
        <v>51.302009451397268</v>
      </c>
      <c r="F226" s="304">
        <f t="shared" ca="1" si="97"/>
        <v>53.256768030336417</v>
      </c>
      <c r="G226" s="306">
        <f t="shared" ca="1" si="98"/>
        <v>30.848057827272594</v>
      </c>
      <c r="H226" s="307">
        <f t="shared" ca="1" si="99"/>
        <v>131.76630462279485</v>
      </c>
      <c r="I226" s="304">
        <f t="shared" ca="1" si="100"/>
        <v>135.32908669484885</v>
      </c>
      <c r="J226" s="306">
        <f t="shared" ca="1" si="101"/>
        <v>32.58952409551933</v>
      </c>
      <c r="K226" s="307">
        <f t="shared" ca="1" si="102"/>
        <v>150.16123775172917</v>
      </c>
      <c r="L226" s="304">
        <f t="shared" ca="1" si="87"/>
        <v>153.65700245645746</v>
      </c>
      <c r="M226" s="306">
        <f t="shared" ca="1" si="103"/>
        <v>1.3408261692758399</v>
      </c>
      <c r="N226" s="304">
        <f t="shared" ca="1" si="104"/>
        <v>76.823680560199321</v>
      </c>
      <c r="P226" s="310">
        <f t="shared" ca="1" si="105"/>
        <v>8</v>
      </c>
      <c r="Q226" s="304">
        <f t="shared" ca="1" si="106"/>
        <v>877.65833333333376</v>
      </c>
      <c r="R226" s="306">
        <f t="shared" ca="1" si="107"/>
        <v>0.43964737319689712</v>
      </c>
      <c r="S226" s="307">
        <f t="shared" ca="1" si="108"/>
        <v>13.186043103628242</v>
      </c>
      <c r="T226" s="304">
        <f t="shared" ca="1" si="88"/>
        <v>129.35508284659306</v>
      </c>
      <c r="U226" s="311">
        <f t="shared" ca="1" si="89"/>
        <v>0</v>
      </c>
      <c r="V226" s="306">
        <f t="shared" ca="1" si="90"/>
        <v>1.2067423281059171</v>
      </c>
      <c r="W226" s="304">
        <f t="shared" ca="1" si="91"/>
        <v>50.465780092404955</v>
      </c>
      <c r="Y226" s="314" t="str">
        <f t="shared" ca="1" si="109"/>
        <v/>
      </c>
      <c r="Z226" s="315" t="str">
        <f t="shared" ca="1" si="110"/>
        <v/>
      </c>
      <c r="AA226" s="316" t="str">
        <f t="shared" ca="1" si="111"/>
        <v/>
      </c>
      <c r="AC226" s="310" t="e">
        <f t="shared" ca="1" si="112"/>
        <v>#N/A</v>
      </c>
      <c r="AD226" s="323" t="e">
        <f t="shared" ca="1" si="113"/>
        <v>#N/A</v>
      </c>
      <c r="AE226" s="324">
        <f t="shared" ca="1" si="92"/>
        <v>150.16123775172917</v>
      </c>
      <c r="AG226" s="306">
        <f t="shared" ca="1" si="114"/>
        <v>53.209866719614794</v>
      </c>
      <c r="AH226" s="304">
        <f t="shared" ca="1" si="115"/>
        <v>62.761969905934897</v>
      </c>
    </row>
    <row r="227" spans="1:34" x14ac:dyDescent="0.25">
      <c r="A227" s="347">
        <f t="shared" ca="1" si="93"/>
        <v>0.01</v>
      </c>
      <c r="B227" s="304">
        <f t="shared" ca="1" si="94"/>
        <v>2.2299999999999964</v>
      </c>
      <c r="D227" s="306">
        <f t="shared" ca="1" si="95"/>
        <v>14.279640784907032</v>
      </c>
      <c r="E227" s="307">
        <f t="shared" ca="1" si="96"/>
        <v>51.184941986417513</v>
      </c>
      <c r="F227" s="304">
        <f t="shared" ca="1" si="97"/>
        <v>53.139499688074849</v>
      </c>
      <c r="G227" s="306">
        <f t="shared" ca="1" si="98"/>
        <v>30.990854235121663</v>
      </c>
      <c r="H227" s="307">
        <f t="shared" ca="1" si="99"/>
        <v>132.27815404265903</v>
      </c>
      <c r="I227" s="304">
        <f t="shared" ca="1" si="100"/>
        <v>135.86001281891589</v>
      </c>
      <c r="J227" s="306">
        <f t="shared" ca="1" si="101"/>
        <v>32.898718655831303</v>
      </c>
      <c r="K227" s="307">
        <f t="shared" ca="1" si="102"/>
        <v>151.48146004505645</v>
      </c>
      <c r="L227" s="304">
        <f t="shared" ca="1" si="87"/>
        <v>155.01276859206655</v>
      </c>
      <c r="M227" s="306">
        <f t="shared" ca="1" si="103"/>
        <v>1.3406615752629931</v>
      </c>
      <c r="N227" s="304">
        <f t="shared" ca="1" si="104"/>
        <v>76.814250017930078</v>
      </c>
      <c r="P227" s="310">
        <f t="shared" ca="1" si="105"/>
        <v>8</v>
      </c>
      <c r="Q227" s="304">
        <f t="shared" ca="1" si="106"/>
        <v>876.21944444444489</v>
      </c>
      <c r="R227" s="306">
        <f t="shared" ca="1" si="107"/>
        <v>0.43892658733263079</v>
      </c>
      <c r="S227" s="307">
        <f t="shared" ca="1" si="108"/>
        <v>13.181653837754915</v>
      </c>
      <c r="T227" s="304">
        <f t="shared" ca="1" si="88"/>
        <v>129.31202414837571</v>
      </c>
      <c r="U227" s="311">
        <f t="shared" ca="1" si="89"/>
        <v>0</v>
      </c>
      <c r="V227" s="306">
        <f t="shared" ca="1" si="90"/>
        <v>1.2065830127503909</v>
      </c>
      <c r="W227" s="304">
        <f t="shared" ca="1" si="91"/>
        <v>50.855818894130785</v>
      </c>
      <c r="Y227" s="314" t="str">
        <f t="shared" ca="1" si="109"/>
        <v/>
      </c>
      <c r="Z227" s="315" t="str">
        <f t="shared" ca="1" si="110"/>
        <v/>
      </c>
      <c r="AA227" s="316" t="str">
        <f t="shared" ca="1" si="111"/>
        <v/>
      </c>
      <c r="AC227" s="310" t="e">
        <f t="shared" ca="1" si="112"/>
        <v>#N/A</v>
      </c>
      <c r="AD227" s="323" t="e">
        <f t="shared" ca="1" si="113"/>
        <v>#N/A</v>
      </c>
      <c r="AE227" s="324">
        <f t="shared" ca="1" si="92"/>
        <v>151.48146004505645</v>
      </c>
      <c r="AG227" s="306">
        <f t="shared" ca="1" si="114"/>
        <v>53.092428376237251</v>
      </c>
      <c r="AH227" s="304">
        <f t="shared" ca="1" si="115"/>
        <v>62.644162448486917</v>
      </c>
    </row>
    <row r="228" spans="1:34" x14ac:dyDescent="0.25">
      <c r="A228" s="347">
        <f t="shared" ca="1" si="93"/>
        <v>0.01</v>
      </c>
      <c r="B228" s="304">
        <f t="shared" ca="1" si="94"/>
        <v>2.2399999999999962</v>
      </c>
      <c r="D228" s="306">
        <f t="shared" ca="1" si="95"/>
        <v>14.262771832292012</v>
      </c>
      <c r="E228" s="307">
        <f t="shared" ca="1" si="96"/>
        <v>51.067738806215104</v>
      </c>
      <c r="F228" s="304">
        <f t="shared" ca="1" si="97"/>
        <v>53.022076601353803</v>
      </c>
      <c r="G228" s="306">
        <f t="shared" ca="1" si="98"/>
        <v>31.133481953444583</v>
      </c>
      <c r="H228" s="307">
        <f t="shared" ca="1" si="99"/>
        <v>132.78883143072119</v>
      </c>
      <c r="I228" s="304">
        <f t="shared" ca="1" si="100"/>
        <v>136.38976300031445</v>
      </c>
      <c r="J228" s="306">
        <f t="shared" ca="1" si="101"/>
        <v>33.209340336774133</v>
      </c>
      <c r="K228" s="307">
        <f t="shared" ca="1" si="102"/>
        <v>152.80679497242335</v>
      </c>
      <c r="L228" s="304">
        <f t="shared" ca="1" si="87"/>
        <v>156.37383692724279</v>
      </c>
      <c r="M228" s="306">
        <f t="shared" ca="1" si="103"/>
        <v>1.3404975052808925</v>
      </c>
      <c r="N228" s="304">
        <f t="shared" ca="1" si="104"/>
        <v>76.804849500410924</v>
      </c>
      <c r="P228" s="310">
        <f t="shared" ca="1" si="105"/>
        <v>8</v>
      </c>
      <c r="Q228" s="304">
        <f t="shared" ca="1" si="106"/>
        <v>874.78055555555613</v>
      </c>
      <c r="R228" s="306">
        <f t="shared" ca="1" si="107"/>
        <v>0.43820580146836452</v>
      </c>
      <c r="S228" s="307">
        <f t="shared" ca="1" si="108"/>
        <v>13.177271779740231</v>
      </c>
      <c r="T228" s="304">
        <f t="shared" ca="1" si="88"/>
        <v>129.26903615925167</v>
      </c>
      <c r="U228" s="311">
        <f t="shared" ca="1" si="89"/>
        <v>0</v>
      </c>
      <c r="V228" s="306">
        <f t="shared" ca="1" si="90"/>
        <v>1.20642310143241</v>
      </c>
      <c r="W228" s="304">
        <f t="shared" ca="1" si="91"/>
        <v>51.246397026814975</v>
      </c>
      <c r="Y228" s="314" t="str">
        <f t="shared" ca="1" si="109"/>
        <v/>
      </c>
      <c r="Z228" s="315" t="str">
        <f t="shared" ca="1" si="110"/>
        <v/>
      </c>
      <c r="AA228" s="316" t="str">
        <f t="shared" ca="1" si="111"/>
        <v/>
      </c>
      <c r="AC228" s="310" t="e">
        <f t="shared" ca="1" si="112"/>
        <v>#N/A</v>
      </c>
      <c r="AD228" s="323" t="e">
        <f t="shared" ca="1" si="113"/>
        <v>#N/A</v>
      </c>
      <c r="AE228" s="324">
        <f t="shared" ca="1" si="92"/>
        <v>152.80679497242335</v>
      </c>
      <c r="AG228" s="306">
        <f t="shared" ca="1" si="114"/>
        <v>52.974834566334543</v>
      </c>
      <c r="AH228" s="304">
        <f t="shared" ca="1" si="115"/>
        <v>62.526200448274253</v>
      </c>
    </row>
    <row r="229" spans="1:34" x14ac:dyDescent="0.25">
      <c r="A229" s="347">
        <f t="shared" ca="1" si="93"/>
        <v>0.01</v>
      </c>
      <c r="B229" s="304">
        <f t="shared" ca="1" si="94"/>
        <v>2.249999999999996</v>
      </c>
      <c r="D229" s="306">
        <f t="shared" ca="1" si="95"/>
        <v>14.245797789244749</v>
      </c>
      <c r="E229" s="307">
        <f t="shared" ca="1" si="96"/>
        <v>50.950400782054764</v>
      </c>
      <c r="F229" s="304">
        <f t="shared" ca="1" si="97"/>
        <v>52.904499756675307</v>
      </c>
      <c r="G229" s="306">
        <f t="shared" ca="1" si="98"/>
        <v>31.275939931337032</v>
      </c>
      <c r="H229" s="307">
        <f t="shared" ca="1" si="99"/>
        <v>133.29833543854173</v>
      </c>
      <c r="I229" s="304">
        <f t="shared" ca="1" si="100"/>
        <v>136.91833569421809</v>
      </c>
      <c r="J229" s="306">
        <f t="shared" ca="1" si="101"/>
        <v>33.521387446198041</v>
      </c>
      <c r="K229" s="307">
        <f t="shared" ca="1" si="102"/>
        <v>154.13723080676965</v>
      </c>
      <c r="L229" s="304">
        <f t="shared" ca="1" si="87"/>
        <v>157.7401956924661</v>
      </c>
      <c r="M229" s="306">
        <f t="shared" ca="1" si="103"/>
        <v>1.34033395423798</v>
      </c>
      <c r="N229" s="304">
        <f t="shared" ca="1" si="104"/>
        <v>76.795478715917071</v>
      </c>
      <c r="P229" s="310">
        <f t="shared" ca="1" si="105"/>
        <v>8</v>
      </c>
      <c r="Q229" s="304">
        <f t="shared" ca="1" si="106"/>
        <v>873.34166666666727</v>
      </c>
      <c r="R229" s="306">
        <f t="shared" ca="1" si="107"/>
        <v>0.43748501560409825</v>
      </c>
      <c r="S229" s="307">
        <f t="shared" ca="1" si="108"/>
        <v>13.172896929584191</v>
      </c>
      <c r="T229" s="304">
        <f t="shared" ca="1" si="88"/>
        <v>129.22611887922091</v>
      </c>
      <c r="U229" s="311">
        <f t="shared" ca="1" si="89"/>
        <v>0</v>
      </c>
      <c r="V229" s="306">
        <f t="shared" ca="1" si="90"/>
        <v>1.2062625958059199</v>
      </c>
      <c r="W229" s="304">
        <f t="shared" ca="1" si="91"/>
        <v>51.637502245447962</v>
      </c>
      <c r="Y229" s="314" t="str">
        <f t="shared" ca="1" si="109"/>
        <v/>
      </c>
      <c r="Z229" s="315" t="str">
        <f t="shared" ca="1" si="110"/>
        <v/>
      </c>
      <c r="AA229" s="316" t="str">
        <f t="shared" ca="1" si="111"/>
        <v/>
      </c>
      <c r="AC229" s="310" t="e">
        <f t="shared" ca="1" si="112"/>
        <v>#N/A</v>
      </c>
      <c r="AD229" s="323" t="e">
        <f t="shared" ca="1" si="113"/>
        <v>#N/A</v>
      </c>
      <c r="AE229" s="324">
        <f t="shared" ca="1" si="92"/>
        <v>154.13723080676965</v>
      </c>
      <c r="AG229" s="306">
        <f t="shared" ca="1" si="114"/>
        <v>52.85708626932071</v>
      </c>
      <c r="AH229" s="304">
        <f t="shared" ca="1" si="115"/>
        <v>62.408084875663121</v>
      </c>
    </row>
    <row r="230" spans="1:34" x14ac:dyDescent="0.25">
      <c r="A230" s="347">
        <f t="shared" ca="1" si="93"/>
        <v>0.01</v>
      </c>
      <c r="B230" s="304">
        <f t="shared" ca="1" si="94"/>
        <v>2.2599999999999958</v>
      </c>
      <c r="D230" s="306">
        <f t="shared" ca="1" si="95"/>
        <v>14.228719299060016</v>
      </c>
      <c r="E230" s="307">
        <f t="shared" ca="1" si="96"/>
        <v>50.832928786501022</v>
      </c>
      <c r="F230" s="304">
        <f t="shared" ca="1" si="97"/>
        <v>52.786770140868889</v>
      </c>
      <c r="G230" s="306">
        <f t="shared" ca="1" si="98"/>
        <v>31.418227124327633</v>
      </c>
      <c r="H230" s="307">
        <f t="shared" ca="1" si="99"/>
        <v>133.80666472640675</v>
      </c>
      <c r="I230" s="304">
        <f t="shared" ca="1" si="100"/>
        <v>137.44572936559672</v>
      </c>
      <c r="J230" s="306">
        <f t="shared" ca="1" si="101"/>
        <v>33.834858281476365</v>
      </c>
      <c r="K230" s="307">
        <f t="shared" ca="1" si="102"/>
        <v>155.47275580759438</v>
      </c>
      <c r="L230" s="304">
        <f t="shared" ca="1" si="87"/>
        <v>159.11183310280686</v>
      </c>
      <c r="M230" s="306">
        <f t="shared" ca="1" si="103"/>
        <v>1.3401709171093781</v>
      </c>
      <c r="N230" s="304">
        <f t="shared" ca="1" si="104"/>
        <v>76.786137376544247</v>
      </c>
      <c r="P230" s="310">
        <f t="shared" ca="1" si="105"/>
        <v>8</v>
      </c>
      <c r="Q230" s="304">
        <f t="shared" ca="1" si="106"/>
        <v>871.9027777777784</v>
      </c>
      <c r="R230" s="306">
        <f t="shared" ca="1" si="107"/>
        <v>0.43676422973983192</v>
      </c>
      <c r="S230" s="307">
        <f t="shared" ca="1" si="108"/>
        <v>13.168529287286793</v>
      </c>
      <c r="T230" s="304">
        <f t="shared" ca="1" si="88"/>
        <v>129.18327230828345</v>
      </c>
      <c r="U230" s="311">
        <f t="shared" ca="1" si="89"/>
        <v>0</v>
      </c>
      <c r="V230" s="306">
        <f t="shared" ca="1" si="90"/>
        <v>1.2061014975265789</v>
      </c>
      <c r="W230" s="304">
        <f t="shared" ca="1" si="91"/>
        <v>52.029122323735315</v>
      </c>
      <c r="Y230" s="314" t="str">
        <f t="shared" ca="1" si="109"/>
        <v/>
      </c>
      <c r="Z230" s="315" t="str">
        <f t="shared" ca="1" si="110"/>
        <v/>
      </c>
      <c r="AA230" s="316" t="str">
        <f t="shared" ca="1" si="111"/>
        <v/>
      </c>
      <c r="AC230" s="310" t="e">
        <f t="shared" ca="1" si="112"/>
        <v>#N/A</v>
      </c>
      <c r="AD230" s="323" t="e">
        <f t="shared" ca="1" si="113"/>
        <v>#N/A</v>
      </c>
      <c r="AE230" s="324">
        <f t="shared" ca="1" si="92"/>
        <v>155.47275580759438</v>
      </c>
      <c r="AG230" s="306">
        <f t="shared" ca="1" si="114"/>
        <v>52.739184464894919</v>
      </c>
      <c r="AH230" s="304">
        <f t="shared" ca="1" si="115"/>
        <v>62.289816701416591</v>
      </c>
    </row>
    <row r="231" spans="1:34" x14ac:dyDescent="0.25">
      <c r="A231" s="347">
        <f t="shared" ca="1" si="93"/>
        <v>0.01</v>
      </c>
      <c r="B231" s="304">
        <f t="shared" ca="1" si="94"/>
        <v>2.2699999999999956</v>
      </c>
      <c r="D231" s="306">
        <f t="shared" ca="1" si="95"/>
        <v>14.211536999745583</v>
      </c>
      <c r="E231" s="307">
        <f t="shared" ca="1" si="96"/>
        <v>50.715323693374273</v>
      </c>
      <c r="F231" s="304">
        <f t="shared" ca="1" si="97"/>
        <v>52.668888741066745</v>
      </c>
      <c r="G231" s="306">
        <f t="shared" ca="1" si="98"/>
        <v>31.560342494325088</v>
      </c>
      <c r="H231" s="307">
        <f t="shared" ca="1" si="99"/>
        <v>134.31381796334048</v>
      </c>
      <c r="I231" s="304">
        <f t="shared" ca="1" si="100"/>
        <v>137.9719424892194</v>
      </c>
      <c r="J231" s="306">
        <f t="shared" ca="1" si="101"/>
        <v>34.14975112956963</v>
      </c>
      <c r="K231" s="307">
        <f t="shared" ca="1" si="102"/>
        <v>156.81335822104313</v>
      </c>
      <c r="L231" s="304">
        <f t="shared" ca="1" si="87"/>
        <v>160.48873735802377</v>
      </c>
      <c r="M231" s="306">
        <f t="shared" ca="1" si="103"/>
        <v>1.3400083889356937</v>
      </c>
      <c r="N231" s="304">
        <f t="shared" ca="1" si="104"/>
        <v>76.776825198140173</v>
      </c>
      <c r="P231" s="310">
        <f t="shared" ca="1" si="105"/>
        <v>8</v>
      </c>
      <c r="Q231" s="304">
        <f t="shared" ca="1" si="106"/>
        <v>870.46388888888953</v>
      </c>
      <c r="R231" s="306">
        <f t="shared" ca="1" si="107"/>
        <v>0.43604344387556565</v>
      </c>
      <c r="S231" s="307">
        <f t="shared" ca="1" si="108"/>
        <v>13.164168852848038</v>
      </c>
      <c r="T231" s="304">
        <f t="shared" ca="1" si="88"/>
        <v>129.14049644643924</v>
      </c>
      <c r="U231" s="311">
        <f t="shared" ca="1" si="89"/>
        <v>0</v>
      </c>
      <c r="V231" s="306">
        <f t="shared" ca="1" si="90"/>
        <v>1.2059398082517414</v>
      </c>
      <c r="W231" s="304">
        <f t="shared" ca="1" si="91"/>
        <v>52.421245054401197</v>
      </c>
      <c r="Y231" s="314" t="str">
        <f t="shared" ca="1" si="109"/>
        <v/>
      </c>
      <c r="Z231" s="315" t="str">
        <f t="shared" ca="1" si="110"/>
        <v/>
      </c>
      <c r="AA231" s="316" t="str">
        <f t="shared" ca="1" si="111"/>
        <v/>
      </c>
      <c r="AC231" s="310" t="e">
        <f t="shared" ca="1" si="112"/>
        <v>#N/A</v>
      </c>
      <c r="AD231" s="323" t="e">
        <f t="shared" ca="1" si="113"/>
        <v>#N/A</v>
      </c>
      <c r="AE231" s="324">
        <f t="shared" ca="1" si="92"/>
        <v>156.81335822104313</v>
      </c>
      <c r="AG231" s="306">
        <f t="shared" ca="1" si="114"/>
        <v>52.62113013301564</v>
      </c>
      <c r="AH231" s="304">
        <f t="shared" ca="1" si="115"/>
        <v>62.171396896666799</v>
      </c>
    </row>
    <row r="232" spans="1:34" x14ac:dyDescent="0.25">
      <c r="A232" s="347">
        <f t="shared" ca="1" si="93"/>
        <v>0.01</v>
      </c>
      <c r="B232" s="304">
        <f t="shared" ca="1" si="94"/>
        <v>2.2799999999999954</v>
      </c>
      <c r="D232" s="306">
        <f t="shared" ca="1" si="95"/>
        <v>14.194251524115849</v>
      </c>
      <c r="E232" s="307">
        <f t="shared" ca="1" si="96"/>
        <v>50.597586377707159</v>
      </c>
      <c r="F232" s="304">
        <f t="shared" ca="1" si="97"/>
        <v>52.550856544678716</v>
      </c>
      <c r="G232" s="306">
        <f t="shared" ca="1" si="98"/>
        <v>31.702285009566246</v>
      </c>
      <c r="H232" s="307">
        <f t="shared" ca="1" si="99"/>
        <v>134.81979382711756</v>
      </c>
      <c r="I232" s="304">
        <f t="shared" ca="1" si="100"/>
        <v>138.4969735496565</v>
      </c>
      <c r="J232" s="306">
        <f t="shared" ca="1" si="101"/>
        <v>34.466064267089088</v>
      </c>
      <c r="K232" s="307">
        <f t="shared" ca="1" si="102"/>
        <v>158.15902627999543</v>
      </c>
      <c r="L232" s="304">
        <f t="shared" ca="1" si="87"/>
        <v>161.87089664266213</v>
      </c>
      <c r="M232" s="306">
        <f t="shared" ca="1" si="103"/>
        <v>1.339846364821847</v>
      </c>
      <c r="N232" s="304">
        <f t="shared" ca="1" si="104"/>
        <v>76.767541900237404</v>
      </c>
      <c r="P232" s="310">
        <f t="shared" ca="1" si="105"/>
        <v>8</v>
      </c>
      <c r="Q232" s="304">
        <f t="shared" ca="1" si="106"/>
        <v>869.02500000000066</v>
      </c>
      <c r="R232" s="306">
        <f t="shared" ca="1" si="107"/>
        <v>0.43532265801129932</v>
      </c>
      <c r="S232" s="307">
        <f t="shared" ca="1" si="108"/>
        <v>13.159815626267925</v>
      </c>
      <c r="T232" s="304">
        <f t="shared" ca="1" si="88"/>
        <v>129.09779129368835</v>
      </c>
      <c r="U232" s="311">
        <f t="shared" ca="1" si="89"/>
        <v>0</v>
      </c>
      <c r="V232" s="306">
        <f t="shared" ca="1" si="90"/>
        <v>1.2057775296404389</v>
      </c>
      <c r="W232" s="304">
        <f t="shared" ca="1" si="91"/>
        <v>52.813858249489961</v>
      </c>
      <c r="Y232" s="314" t="str">
        <f t="shared" ca="1" si="109"/>
        <v/>
      </c>
      <c r="Z232" s="315" t="str">
        <f t="shared" ca="1" si="110"/>
        <v/>
      </c>
      <c r="AA232" s="316" t="str">
        <f t="shared" ca="1" si="111"/>
        <v/>
      </c>
      <c r="AC232" s="310" t="e">
        <f t="shared" ca="1" si="112"/>
        <v>#N/A</v>
      </c>
      <c r="AD232" s="323" t="e">
        <f t="shared" ca="1" si="113"/>
        <v>#N/A</v>
      </c>
      <c r="AE232" s="324">
        <f t="shared" ca="1" si="92"/>
        <v>158.15902627999543</v>
      </c>
      <c r="AG232" s="306">
        <f t="shared" ca="1" si="114"/>
        <v>52.502924253874738</v>
      </c>
      <c r="AH232" s="304">
        <f t="shared" ca="1" si="115"/>
        <v>62.052826432887137</v>
      </c>
    </row>
    <row r="233" spans="1:34" x14ac:dyDescent="0.25">
      <c r="A233" s="347">
        <f t="shared" ca="1" si="93"/>
        <v>0.01</v>
      </c>
      <c r="B233" s="304">
        <f t="shared" ca="1" si="94"/>
        <v>2.2899999999999952</v>
      </c>
      <c r="D233" s="306">
        <f t="shared" ca="1" si="95"/>
        <v>14.17686349988338</v>
      </c>
      <c r="E233" s="307">
        <f t="shared" ca="1" si="96"/>
        <v>50.479717715701533</v>
      </c>
      <c r="F233" s="304">
        <f t="shared" ca="1" si="97"/>
        <v>52.432674539367497</v>
      </c>
      <c r="G233" s="306">
        <f t="shared" ca="1" si="98"/>
        <v>31.844053644565079</v>
      </c>
      <c r="H233" s="307">
        <f t="shared" ca="1" si="99"/>
        <v>135.32459100427457</v>
      </c>
      <c r="I233" s="304">
        <f t="shared" ca="1" si="100"/>
        <v>139.02082104128189</v>
      </c>
      <c r="J233" s="306">
        <f t="shared" ca="1" si="101"/>
        <v>34.783795960359747</v>
      </c>
      <c r="K233" s="307">
        <f t="shared" ca="1" si="102"/>
        <v>159.5097482041524</v>
      </c>
      <c r="L233" s="304">
        <f t="shared" ca="1" si="87"/>
        <v>163.25829912615174</v>
      </c>
      <c r="M233" s="306">
        <f t="shared" ca="1" si="103"/>
        <v>1.339684839935928</v>
      </c>
      <c r="N233" s="304">
        <f t="shared" ca="1" si="104"/>
        <v>76.758287205987912</v>
      </c>
      <c r="P233" s="310">
        <f t="shared" ca="1" si="105"/>
        <v>8</v>
      </c>
      <c r="Q233" s="304">
        <f t="shared" ca="1" si="106"/>
        <v>867.58611111111179</v>
      </c>
      <c r="R233" s="306">
        <f t="shared" ca="1" si="107"/>
        <v>0.434601872147033</v>
      </c>
      <c r="S233" s="307">
        <f t="shared" ca="1" si="108"/>
        <v>13.155469607546454</v>
      </c>
      <c r="T233" s="304">
        <f t="shared" ca="1" si="88"/>
        <v>129.05515685003073</v>
      </c>
      <c r="U233" s="311">
        <f t="shared" ca="1" si="89"/>
        <v>0</v>
      </c>
      <c r="V233" s="306">
        <f t="shared" ca="1" si="90"/>
        <v>1.2056146633533593</v>
      </c>
      <c r="W233" s="304">
        <f t="shared" ca="1" si="91"/>
        <v>53.206949740666175</v>
      </c>
      <c r="Y233" s="314" t="str">
        <f t="shared" ca="1" si="109"/>
        <v/>
      </c>
      <c r="Z233" s="315" t="str">
        <f t="shared" ca="1" si="110"/>
        <v/>
      </c>
      <c r="AA233" s="316" t="str">
        <f t="shared" ca="1" si="111"/>
        <v/>
      </c>
      <c r="AC233" s="310" t="e">
        <f t="shared" ca="1" si="112"/>
        <v>#N/A</v>
      </c>
      <c r="AD233" s="323" t="e">
        <f t="shared" ca="1" si="113"/>
        <v>#N/A</v>
      </c>
      <c r="AE233" s="324">
        <f t="shared" ca="1" si="92"/>
        <v>159.5097482041524</v>
      </c>
      <c r="AG233" s="306">
        <f t="shared" ca="1" si="114"/>
        <v>52.384567807871704</v>
      </c>
      <c r="AH233" s="304">
        <f t="shared" ca="1" si="115"/>
        <v>61.934106281864615</v>
      </c>
    </row>
    <row r="234" spans="1:34" x14ac:dyDescent="0.25">
      <c r="A234" s="347">
        <f t="shared" ca="1" si="93"/>
        <v>0.01</v>
      </c>
      <c r="B234" s="304">
        <f t="shared" ca="1" si="94"/>
        <v>2.2999999999999949</v>
      </c>
      <c r="D234" s="306">
        <f t="shared" ca="1" si="95"/>
        <v>14.159373549748112</v>
      </c>
      <c r="E234" s="307">
        <f t="shared" ca="1" si="96"/>
        <v>50.36171858468574</v>
      </c>
      <c r="F234" s="304">
        <f t="shared" ca="1" si="97"/>
        <v>52.314343713023753</v>
      </c>
      <c r="G234" s="306">
        <f t="shared" ca="1" si="98"/>
        <v>31.985647380062559</v>
      </c>
      <c r="H234" s="307">
        <f t="shared" ca="1" si="99"/>
        <v>135.82820819012142</v>
      </c>
      <c r="I234" s="304">
        <f t="shared" ca="1" si="100"/>
        <v>139.54348346827476</v>
      </c>
      <c r="J234" s="306">
        <f t="shared" ca="1" si="101"/>
        <v>35.102944465482885</v>
      </c>
      <c r="K234" s="307">
        <f t="shared" ca="1" si="102"/>
        <v>160.86551220012439</v>
      </c>
      <c r="L234" s="304">
        <f t="shared" ca="1" si="87"/>
        <v>164.65093296290533</v>
      </c>
      <c r="M234" s="306">
        <f t="shared" ca="1" si="103"/>
        <v>1.3395238095080775</v>
      </c>
      <c r="N234" s="304">
        <f t="shared" ca="1" si="104"/>
        <v>76.749060842098899</v>
      </c>
      <c r="P234" s="310">
        <f t="shared" ca="1" si="105"/>
        <v>8</v>
      </c>
      <c r="Q234" s="304">
        <f t="shared" ca="1" si="106"/>
        <v>866.14722222222292</v>
      </c>
      <c r="R234" s="306">
        <f t="shared" ca="1" si="107"/>
        <v>0.43388108628276673</v>
      </c>
      <c r="S234" s="307">
        <f t="shared" ca="1" si="108"/>
        <v>13.151130796683626</v>
      </c>
      <c r="T234" s="304">
        <f t="shared" ca="1" si="88"/>
        <v>129.01259311546639</v>
      </c>
      <c r="U234" s="311">
        <f t="shared" ca="1" si="89"/>
        <v>0</v>
      </c>
      <c r="V234" s="306">
        <f t="shared" ca="1" si="90"/>
        <v>1.2054512110528286</v>
      </c>
      <c r="W234" s="304">
        <f t="shared" ca="1" si="91"/>
        <v>53.600507379513033</v>
      </c>
      <c r="Y234" s="314" t="str">
        <f t="shared" ca="1" si="109"/>
        <v/>
      </c>
      <c r="Z234" s="315" t="str">
        <f t="shared" ca="1" si="110"/>
        <v/>
      </c>
      <c r="AA234" s="316" t="str">
        <f t="shared" ca="1" si="111"/>
        <v/>
      </c>
      <c r="AC234" s="310" t="e">
        <f t="shared" ca="1" si="112"/>
        <v>#N/A</v>
      </c>
      <c r="AD234" s="323" t="e">
        <f t="shared" ca="1" si="113"/>
        <v>#N/A</v>
      </c>
      <c r="AE234" s="324">
        <f t="shared" ca="1" si="92"/>
        <v>160.86551220012439</v>
      </c>
      <c r="AG234" s="306">
        <f t="shared" ca="1" si="114"/>
        <v>52.266061775587872</v>
      </c>
      <c r="AH234" s="304">
        <f t="shared" ca="1" si="115"/>
        <v>61.815237415672215</v>
      </c>
    </row>
    <row r="235" spans="1:34" x14ac:dyDescent="0.25">
      <c r="A235" s="347">
        <f t="shared" ca="1" si="93"/>
        <v>0.01</v>
      </c>
      <c r="B235" s="304">
        <f t="shared" ca="1" si="94"/>
        <v>2.3099999999999947</v>
      </c>
      <c r="D235" s="306">
        <f t="shared" ca="1" si="95"/>
        <v>14.141782291484505</v>
      </c>
      <c r="E235" s="307">
        <f t="shared" ca="1" si="96"/>
        <v>50.243589863072287</v>
      </c>
      <c r="F235" s="304">
        <f t="shared" ca="1" si="97"/>
        <v>52.19586505374123</v>
      </c>
      <c r="G235" s="306">
        <f t="shared" ca="1" si="98"/>
        <v>32.127065202977406</v>
      </c>
      <c r="H235" s="307">
        <f t="shared" ca="1" si="99"/>
        <v>136.33064408875214</v>
      </c>
      <c r="I235" s="304">
        <f t="shared" ca="1" si="100"/>
        <v>140.06495934462114</v>
      </c>
      <c r="J235" s="306">
        <f t="shared" ca="1" si="101"/>
        <v>35.423508028398082</v>
      </c>
      <c r="K235" s="307">
        <f t="shared" ca="1" si="102"/>
        <v>162.22630646151876</v>
      </c>
      <c r="L235" s="304">
        <f t="shared" ca="1" si="87"/>
        <v>166.04878629241645</v>
      </c>
      <c r="M235" s="306">
        <f t="shared" ca="1" si="103"/>
        <v>1.3393632688293928</v>
      </c>
      <c r="N235" s="304">
        <f t="shared" ca="1" si="104"/>
        <v>76.739862538770097</v>
      </c>
      <c r="P235" s="310">
        <f t="shared" ca="1" si="105"/>
        <v>8</v>
      </c>
      <c r="Q235" s="304">
        <f t="shared" ca="1" si="106"/>
        <v>864.70833333333405</v>
      </c>
      <c r="R235" s="306">
        <f t="shared" ca="1" si="107"/>
        <v>0.4331603004185004</v>
      </c>
      <c r="S235" s="307">
        <f t="shared" ca="1" si="108"/>
        <v>13.14679919367944</v>
      </c>
      <c r="T235" s="304">
        <f t="shared" ca="1" si="88"/>
        <v>128.97010008999533</v>
      </c>
      <c r="U235" s="311">
        <f t="shared" ca="1" si="89"/>
        <v>0</v>
      </c>
      <c r="V235" s="306">
        <f t="shared" ca="1" si="90"/>
        <v>1.205287174402792</v>
      </c>
      <c r="W235" s="304">
        <f t="shared" ca="1" si="91"/>
        <v>53.994519037829207</v>
      </c>
      <c r="Y235" s="314" t="str">
        <f t="shared" ca="1" si="109"/>
        <v/>
      </c>
      <c r="Z235" s="315" t="str">
        <f t="shared" ca="1" si="110"/>
        <v/>
      </c>
      <c r="AA235" s="316" t="str">
        <f t="shared" ca="1" si="111"/>
        <v/>
      </c>
      <c r="AC235" s="310" t="e">
        <f t="shared" ca="1" si="112"/>
        <v>#N/A</v>
      </c>
      <c r="AD235" s="323" t="e">
        <f t="shared" ca="1" si="113"/>
        <v>#N/A</v>
      </c>
      <c r="AE235" s="324">
        <f t="shared" ca="1" si="92"/>
        <v>162.22630646151876</v>
      </c>
      <c r="AG235" s="306">
        <f t="shared" ca="1" si="114"/>
        <v>52.147407137760624</v>
      </c>
      <c r="AH235" s="304">
        <f t="shared" ca="1" si="115"/>
        <v>61.696220806641335</v>
      </c>
    </row>
    <row r="236" spans="1:34" x14ac:dyDescent="0.25">
      <c r="A236" s="347">
        <f t="shared" ca="1" si="93"/>
        <v>0.01</v>
      </c>
      <c r="B236" s="304">
        <f t="shared" ca="1" si="94"/>
        <v>2.3199999999999945</v>
      </c>
      <c r="D236" s="306">
        <f t="shared" ca="1" si="95"/>
        <v>14.124090338026623</v>
      </c>
      <c r="E236" s="307">
        <f t="shared" ca="1" si="96"/>
        <v>50.125332430316035</v>
      </c>
      <c r="F236" s="304">
        <f t="shared" ca="1" si="97"/>
        <v>52.07723954979209</v>
      </c>
      <c r="G236" s="306">
        <f t="shared" ca="1" si="98"/>
        <v>32.26830610635767</v>
      </c>
      <c r="H236" s="307">
        <f t="shared" ca="1" si="99"/>
        <v>136.83189741305529</v>
      </c>
      <c r="I236" s="304">
        <f t="shared" ca="1" si="100"/>
        <v>140.58524719411523</v>
      </c>
      <c r="J236" s="306">
        <f t="shared" ca="1" si="101"/>
        <v>35.745484884944759</v>
      </c>
      <c r="K236" s="307">
        <f t="shared" ca="1" si="102"/>
        <v>163.5921191690278</v>
      </c>
      <c r="L236" s="304">
        <f t="shared" ca="1" si="87"/>
        <v>167.45184723935776</v>
      </c>
      <c r="M236" s="306">
        <f t="shared" ca="1" si="103"/>
        <v>1.3392032132508587</v>
      </c>
      <c r="N236" s="304">
        <f t="shared" ca="1" si="104"/>
        <v>76.730692029632564</v>
      </c>
      <c r="P236" s="310">
        <f t="shared" ca="1" si="105"/>
        <v>8</v>
      </c>
      <c r="Q236" s="304">
        <f t="shared" ca="1" si="106"/>
        <v>863.2694444444453</v>
      </c>
      <c r="R236" s="306">
        <f t="shared" ca="1" si="107"/>
        <v>0.43243951455423413</v>
      </c>
      <c r="S236" s="307">
        <f t="shared" ca="1" si="108"/>
        <v>13.142474798533899</v>
      </c>
      <c r="T236" s="304">
        <f t="shared" ca="1" si="88"/>
        <v>128.92767777361755</v>
      </c>
      <c r="U236" s="311">
        <f t="shared" ca="1" si="89"/>
        <v>0</v>
      </c>
      <c r="V236" s="306">
        <f t="shared" ca="1" si="90"/>
        <v>1.2051225550687921</v>
      </c>
      <c r="W236" s="304">
        <f t="shared" ca="1" si="91"/>
        <v>54.388972607923762</v>
      </c>
      <c r="Y236" s="314" t="str">
        <f t="shared" ca="1" si="109"/>
        <v/>
      </c>
      <c r="Z236" s="315" t="str">
        <f t="shared" ca="1" si="110"/>
        <v/>
      </c>
      <c r="AA236" s="316" t="str">
        <f t="shared" ca="1" si="111"/>
        <v/>
      </c>
      <c r="AC236" s="310" t="e">
        <f t="shared" ca="1" si="112"/>
        <v>#N/A</v>
      </c>
      <c r="AD236" s="323" t="e">
        <f t="shared" ca="1" si="113"/>
        <v>#N/A</v>
      </c>
      <c r="AE236" s="324">
        <f t="shared" ca="1" si="92"/>
        <v>163.5921191690278</v>
      </c>
      <c r="AG236" s="306">
        <f t="shared" ca="1" si="114"/>
        <v>52.028604875257699</v>
      </c>
      <c r="AH236" s="304">
        <f t="shared" ca="1" si="115"/>
        <v>61.577057427334339</v>
      </c>
    </row>
    <row r="237" spans="1:34" x14ac:dyDescent="0.25">
      <c r="A237" s="347">
        <f t="shared" ca="1" si="93"/>
        <v>0.01</v>
      </c>
      <c r="B237" s="304">
        <f t="shared" ca="1" si="94"/>
        <v>2.3299999999999943</v>
      </c>
      <c r="D237" s="306">
        <f t="shared" ca="1" si="95"/>
        <v>14.106298297551129</v>
      </c>
      <c r="E237" s="307">
        <f t="shared" ca="1" si="96"/>
        <v>50.006947166872692</v>
      </c>
      <c r="F237" s="304">
        <f t="shared" ca="1" si="97"/>
        <v>51.95846818960208</v>
      </c>
      <c r="G237" s="306">
        <f t="shared" ca="1" si="98"/>
        <v>32.409369089333183</v>
      </c>
      <c r="H237" s="307">
        <f t="shared" ca="1" si="99"/>
        <v>137.33196688472401</v>
      </c>
      <c r="I237" s="304">
        <f t="shared" ca="1" si="100"/>
        <v>141.10434555036056</v>
      </c>
      <c r="J237" s="306">
        <f t="shared" ca="1" si="101"/>
        <v>36.068873260923212</v>
      </c>
      <c r="K237" s="307">
        <f t="shared" ca="1" si="102"/>
        <v>164.96293849051671</v>
      </c>
      <c r="L237" s="304">
        <f t="shared" ca="1" si="87"/>
        <v>168.86010391367921</v>
      </c>
      <c r="M237" s="306">
        <f t="shared" ca="1" si="103"/>
        <v>1.3390436381822994</v>
      </c>
      <c r="N237" s="304">
        <f t="shared" ca="1" si="104"/>
        <v>76.721549051688612</v>
      </c>
      <c r="P237" s="310">
        <f t="shared" ca="1" si="105"/>
        <v>8</v>
      </c>
      <c r="Q237" s="304">
        <f t="shared" ca="1" si="106"/>
        <v>861.83055555555643</v>
      </c>
      <c r="R237" s="306">
        <f t="shared" ca="1" si="107"/>
        <v>0.43171872868996786</v>
      </c>
      <c r="S237" s="307">
        <f t="shared" ca="1" si="108"/>
        <v>13.138157611246999</v>
      </c>
      <c r="T237" s="304">
        <f t="shared" ca="1" si="88"/>
        <v>128.88532616633307</v>
      </c>
      <c r="U237" s="311">
        <f t="shared" ca="1" si="89"/>
        <v>0</v>
      </c>
      <c r="V237" s="306">
        <f t="shared" ca="1" si="90"/>
        <v>1.2049573547179542</v>
      </c>
      <c r="W237" s="304">
        <f t="shared" ca="1" si="91"/>
        <v>54.783856002910071</v>
      </c>
      <c r="Y237" s="314" t="str">
        <f t="shared" ca="1" si="109"/>
        <v/>
      </c>
      <c r="Z237" s="315" t="str">
        <f t="shared" ca="1" si="110"/>
        <v/>
      </c>
      <c r="AA237" s="316" t="str">
        <f t="shared" ca="1" si="111"/>
        <v/>
      </c>
      <c r="AC237" s="310" t="e">
        <f t="shared" ca="1" si="112"/>
        <v>#N/A</v>
      </c>
      <c r="AD237" s="323" t="e">
        <f t="shared" ca="1" si="113"/>
        <v>#N/A</v>
      </c>
      <c r="AE237" s="324">
        <f t="shared" ca="1" si="92"/>
        <v>164.96293849051671</v>
      </c>
      <c r="AG237" s="306">
        <f t="shared" ca="1" si="114"/>
        <v>51.909655969051414</v>
      </c>
      <c r="AH237" s="304">
        <f t="shared" ca="1" si="115"/>
        <v>61.457748250517064</v>
      </c>
    </row>
    <row r="238" spans="1:34" x14ac:dyDescent="0.25">
      <c r="A238" s="347">
        <f t="shared" ca="1" si="93"/>
        <v>0.01</v>
      </c>
      <c r="B238" s="304">
        <f t="shared" ca="1" si="94"/>
        <v>2.3399999999999941</v>
      </c>
      <c r="D238" s="306">
        <f t="shared" ca="1" si="95"/>
        <v>14.088406773558416</v>
      </c>
      <c r="E238" s="307">
        <f t="shared" ca="1" si="96"/>
        <v>49.888434954157688</v>
      </c>
      <c r="F238" s="304">
        <f t="shared" ca="1" si="97"/>
        <v>51.839551961725796</v>
      </c>
      <c r="G238" s="306">
        <f t="shared" ca="1" si="98"/>
        <v>32.550253157068767</v>
      </c>
      <c r="H238" s="307">
        <f t="shared" ca="1" si="99"/>
        <v>137.83085123426559</v>
      </c>
      <c r="I238" s="304">
        <f t="shared" ca="1" si="100"/>
        <v>141.62225295677061</v>
      </c>
      <c r="J238" s="306">
        <f t="shared" ca="1" si="101"/>
        <v>36.393671372155225</v>
      </c>
      <c r="K238" s="307">
        <f t="shared" ca="1" si="102"/>
        <v>166.33875258111166</v>
      </c>
      <c r="L238" s="304">
        <f t="shared" ca="1" si="87"/>
        <v>170.27354441070614</v>
      </c>
      <c r="M238" s="306">
        <f t="shared" ca="1" si="103"/>
        <v>1.3388845390913562</v>
      </c>
      <c r="N238" s="304">
        <f t="shared" ca="1" si="104"/>
        <v>76.712433345253189</v>
      </c>
      <c r="P238" s="310">
        <f t="shared" ca="1" si="105"/>
        <v>8</v>
      </c>
      <c r="Q238" s="304">
        <f t="shared" ca="1" si="106"/>
        <v>860.39166666666756</v>
      </c>
      <c r="R238" s="306">
        <f t="shared" ca="1" si="107"/>
        <v>0.43099794282570153</v>
      </c>
      <c r="S238" s="307">
        <f t="shared" ca="1" si="108"/>
        <v>13.133847631818742</v>
      </c>
      <c r="T238" s="304">
        <f t="shared" ca="1" si="88"/>
        <v>128.84304526814188</v>
      </c>
      <c r="U238" s="311">
        <f t="shared" ca="1" si="89"/>
        <v>0</v>
      </c>
      <c r="V238" s="306">
        <f t="shared" ca="1" si="90"/>
        <v>1.2047915750189626</v>
      </c>
      <c r="W238" s="304">
        <f t="shared" ca="1" si="91"/>
        <v>55.179157156997164</v>
      </c>
      <c r="Y238" s="314" t="str">
        <f t="shared" ca="1" si="109"/>
        <v/>
      </c>
      <c r="Z238" s="315" t="str">
        <f t="shared" ca="1" si="110"/>
        <v/>
      </c>
      <c r="AA238" s="316" t="str">
        <f t="shared" ca="1" si="111"/>
        <v/>
      </c>
      <c r="AC238" s="310" t="e">
        <f t="shared" ca="1" si="112"/>
        <v>#N/A</v>
      </c>
      <c r="AD238" s="323" t="e">
        <f t="shared" ca="1" si="113"/>
        <v>#N/A</v>
      </c>
      <c r="AE238" s="324">
        <f t="shared" ca="1" si="92"/>
        <v>166.33875258111166</v>
      </c>
      <c r="AG238" s="306">
        <f t="shared" ca="1" si="114"/>
        <v>51.79056140019307</v>
      </c>
      <c r="AH238" s="304">
        <f t="shared" ca="1" si="115"/>
        <v>61.338294249131543</v>
      </c>
    </row>
    <row r="239" spans="1:34" x14ac:dyDescent="0.25">
      <c r="A239" s="347">
        <f t="shared" ca="1" si="93"/>
        <v>0.01</v>
      </c>
      <c r="B239" s="304">
        <f t="shared" ca="1" si="94"/>
        <v>2.3499999999999939</v>
      </c>
      <c r="D239" s="306">
        <f t="shared" ca="1" si="95"/>
        <v>14.07041636495174</v>
      </c>
      <c r="E239" s="307">
        <f t="shared" ca="1" si="96"/>
        <v>49.769796674505535</v>
      </c>
      <c r="F239" s="304">
        <f t="shared" ca="1" si="97"/>
        <v>51.720491854822143</v>
      </c>
      <c r="G239" s="306">
        <f t="shared" ca="1" si="98"/>
        <v>32.690957320718283</v>
      </c>
      <c r="H239" s="307">
        <f t="shared" ca="1" si="99"/>
        <v>138.32854920101065</v>
      </c>
      <c r="I239" s="304">
        <f t="shared" ca="1" si="100"/>
        <v>142.13896796656942</v>
      </c>
      <c r="J239" s="306">
        <f t="shared" ca="1" si="101"/>
        <v>36.719877424544158</v>
      </c>
      <c r="K239" s="307">
        <f t="shared" ca="1" si="102"/>
        <v>167.71954958328806</v>
      </c>
      <c r="L239" s="304">
        <f t="shared" ca="1" si="87"/>
        <v>171.69215681123751</v>
      </c>
      <c r="M239" s="306">
        <f t="shared" ca="1" si="103"/>
        <v>1.338725911502485</v>
      </c>
      <c r="N239" s="304">
        <f t="shared" ca="1" si="104"/>
        <v>76.703344653896536</v>
      </c>
      <c r="P239" s="310">
        <f t="shared" ca="1" si="105"/>
        <v>8</v>
      </c>
      <c r="Q239" s="304">
        <f t="shared" ca="1" si="106"/>
        <v>858.95277777777869</v>
      </c>
      <c r="R239" s="306">
        <f t="shared" ca="1" si="107"/>
        <v>0.43027715696143526</v>
      </c>
      <c r="S239" s="307">
        <f t="shared" ca="1" si="108"/>
        <v>13.129544860249128</v>
      </c>
      <c r="T239" s="304">
        <f t="shared" ca="1" si="88"/>
        <v>128.80083507904396</v>
      </c>
      <c r="U239" s="311">
        <f t="shared" ca="1" si="89"/>
        <v>0</v>
      </c>
      <c r="V239" s="306">
        <f t="shared" ca="1" si="90"/>
        <v>1.2046252176420438</v>
      </c>
      <c r="W239" s="304">
        <f t="shared" ca="1" si="91"/>
        <v>55.574864025780116</v>
      </c>
      <c r="Y239" s="314" t="str">
        <f t="shared" ca="1" si="109"/>
        <v/>
      </c>
      <c r="Z239" s="315" t="str">
        <f t="shared" ca="1" si="110"/>
        <v/>
      </c>
      <c r="AA239" s="316" t="str">
        <f t="shared" ca="1" si="111"/>
        <v/>
      </c>
      <c r="AC239" s="310" t="e">
        <f t="shared" ca="1" si="112"/>
        <v>#N/A</v>
      </c>
      <c r="AD239" s="323" t="e">
        <f t="shared" ca="1" si="113"/>
        <v>#N/A</v>
      </c>
      <c r="AE239" s="324">
        <f t="shared" ca="1" si="92"/>
        <v>167.71954958328806</v>
      </c>
      <c r="AG239" s="306">
        <f t="shared" ca="1" si="114"/>
        <v>51.671322149787308</v>
      </c>
      <c r="AH239" s="304">
        <f t="shared" ca="1" si="115"/>
        <v>61.218696396268705</v>
      </c>
    </row>
    <row r="240" spans="1:34" x14ac:dyDescent="0.25">
      <c r="A240" s="347">
        <f t="shared" ca="1" si="93"/>
        <v>0.01</v>
      </c>
      <c r="B240" s="304">
        <f t="shared" ca="1" si="94"/>
        <v>2.3599999999999937</v>
      </c>
      <c r="D240" s="306">
        <f t="shared" ca="1" si="95"/>
        <v>14.052327666114506</v>
      </c>
      <c r="E240" s="307">
        <f t="shared" ca="1" si="96"/>
        <v>49.651033211129416</v>
      </c>
      <c r="F240" s="304">
        <f t="shared" ca="1" si="97"/>
        <v>51.601288857629548</v>
      </c>
      <c r="G240" s="306">
        <f t="shared" ca="1" si="98"/>
        <v>32.831480597379425</v>
      </c>
      <c r="H240" s="307">
        <f t="shared" ca="1" si="99"/>
        <v>138.82505953312193</v>
      </c>
      <c r="I240" s="304">
        <f t="shared" ca="1" si="100"/>
        <v>142.65448914279196</v>
      </c>
      <c r="J240" s="306">
        <f t="shared" ca="1" si="101"/>
        <v>37.047489614134648</v>
      </c>
      <c r="K240" s="307">
        <f t="shared" ca="1" si="102"/>
        <v>169.10531762695871</v>
      </c>
      <c r="L240" s="304">
        <f t="shared" ca="1" si="87"/>
        <v>173.11592918164408</v>
      </c>
      <c r="M240" s="306">
        <f t="shared" ca="1" si="103"/>
        <v>1.3385677509959766</v>
      </c>
      <c r="N240" s="304">
        <f t="shared" ca="1" si="104"/>
        <v>76.694282724387961</v>
      </c>
      <c r="P240" s="310">
        <f t="shared" ca="1" si="105"/>
        <v>8</v>
      </c>
      <c r="Q240" s="304">
        <f t="shared" ca="1" si="106"/>
        <v>857.51388888888982</v>
      </c>
      <c r="R240" s="306">
        <f t="shared" ca="1" si="107"/>
        <v>0.42955637109716893</v>
      </c>
      <c r="S240" s="307">
        <f t="shared" ca="1" si="108"/>
        <v>13.125249296538156</v>
      </c>
      <c r="T240" s="304">
        <f t="shared" ca="1" si="88"/>
        <v>128.75869559903933</v>
      </c>
      <c r="U240" s="311">
        <f t="shared" ca="1" si="89"/>
        <v>0</v>
      </c>
      <c r="V240" s="306">
        <f t="shared" ca="1" si="90"/>
        <v>1.2044582842589473</v>
      </c>
      <c r="W240" s="304">
        <f t="shared" ca="1" si="91"/>
        <v>55.970964586528567</v>
      </c>
      <c r="Y240" s="314" t="str">
        <f t="shared" ca="1" si="109"/>
        <v/>
      </c>
      <c r="Z240" s="315" t="str">
        <f t="shared" ca="1" si="110"/>
        <v/>
      </c>
      <c r="AA240" s="316" t="str">
        <f t="shared" ca="1" si="111"/>
        <v/>
      </c>
      <c r="AC240" s="310" t="e">
        <f t="shared" ca="1" si="112"/>
        <v>#N/A</v>
      </c>
      <c r="AD240" s="323" t="e">
        <f t="shared" ca="1" si="113"/>
        <v>#N/A</v>
      </c>
      <c r="AE240" s="324">
        <f t="shared" ca="1" si="92"/>
        <v>169.10531762695871</v>
      </c>
      <c r="AG240" s="306">
        <f t="shared" ca="1" si="114"/>
        <v>51.551939198966451</v>
      </c>
      <c r="AH240" s="304">
        <f t="shared" ca="1" si="115"/>
        <v>61.098955665141141</v>
      </c>
    </row>
    <row r="241" spans="1:34" x14ac:dyDescent="0.25">
      <c r="A241" s="347">
        <f t="shared" ca="1" si="93"/>
        <v>0.01</v>
      </c>
      <c r="B241" s="304">
        <f t="shared" ca="1" si="94"/>
        <v>2.3699999999999934</v>
      </c>
      <c r="D241" s="306">
        <f t="shared" ca="1" si="95"/>
        <v>14.034141266985799</v>
      </c>
      <c r="E241" s="307">
        <f t="shared" ca="1" si="96"/>
        <v>49.532145448081259</v>
      </c>
      <c r="F241" s="304">
        <f t="shared" ca="1" si="97"/>
        <v>51.481943958941478</v>
      </c>
      <c r="G241" s="306">
        <f t="shared" ca="1" si="98"/>
        <v>32.97182201004928</v>
      </c>
      <c r="H241" s="307">
        <f t="shared" ca="1" si="99"/>
        <v>139.32038098760273</v>
      </c>
      <c r="I241" s="304">
        <f t="shared" ca="1" si="100"/>
        <v>143.16881505828405</v>
      </c>
      <c r="J241" s="306">
        <f t="shared" ca="1" si="101"/>
        <v>37.376506127171794</v>
      </c>
      <c r="K241" s="307">
        <f t="shared" ca="1" si="102"/>
        <v>170.49604482956232</v>
      </c>
      <c r="L241" s="304">
        <f t="shared" ca="1" si="87"/>
        <v>174.54484957396662</v>
      </c>
      <c r="M241" s="306">
        <f t="shared" ca="1" si="103"/>
        <v>1.3384100532069978</v>
      </c>
      <c r="N241" s="304">
        <f t="shared" ca="1" si="104"/>
        <v>76.685247306640932</v>
      </c>
      <c r="P241" s="310">
        <f t="shared" ca="1" si="105"/>
        <v>8</v>
      </c>
      <c r="Q241" s="304">
        <f t="shared" ca="1" si="106"/>
        <v>856.07500000000095</v>
      </c>
      <c r="R241" s="306">
        <f t="shared" ca="1" si="107"/>
        <v>0.42883558523290261</v>
      </c>
      <c r="S241" s="307">
        <f t="shared" ca="1" si="108"/>
        <v>13.120960940685826</v>
      </c>
      <c r="T241" s="304">
        <f t="shared" ca="1" si="88"/>
        <v>128.71662682812797</v>
      </c>
      <c r="U241" s="311">
        <f t="shared" ca="1" si="89"/>
        <v>0</v>
      </c>
      <c r="V241" s="306">
        <f t="shared" ca="1" si="90"/>
        <v>1.2042907765429252</v>
      </c>
      <c r="W241" s="304">
        <f t="shared" ca="1" si="91"/>
        <v>56.36744683847337</v>
      </c>
      <c r="Y241" s="314" t="str">
        <f t="shared" ca="1" si="109"/>
        <v/>
      </c>
      <c r="Z241" s="315" t="str">
        <f t="shared" ca="1" si="110"/>
        <v/>
      </c>
      <c r="AA241" s="316" t="str">
        <f t="shared" ca="1" si="111"/>
        <v/>
      </c>
      <c r="AC241" s="310" t="e">
        <f t="shared" ca="1" si="112"/>
        <v>#N/A</v>
      </c>
      <c r="AD241" s="323" t="e">
        <f t="shared" ca="1" si="113"/>
        <v>#N/A</v>
      </c>
      <c r="AE241" s="324">
        <f t="shared" ca="1" si="92"/>
        <v>170.49604482956232</v>
      </c>
      <c r="AG241" s="306">
        <f t="shared" ca="1" si="114"/>
        <v>51.43241352886502</v>
      </c>
      <c r="AH241" s="304">
        <f t="shared" ca="1" si="115"/>
        <v>60.979073029056003</v>
      </c>
    </row>
    <row r="242" spans="1:34" x14ac:dyDescent="0.25">
      <c r="A242" s="347">
        <f t="shared" ca="1" si="93"/>
        <v>0.01</v>
      </c>
      <c r="B242" s="304">
        <f t="shared" ca="1" si="94"/>
        <v>2.3799999999999932</v>
      </c>
      <c r="D242" s="306">
        <f t="shared" ca="1" si="95"/>
        <v>14.015857753134075</v>
      </c>
      <c r="E242" s="307">
        <f t="shared" ca="1" si="96"/>
        <v>49.41313427021214</v>
      </c>
      <c r="F242" s="304">
        <f t="shared" ca="1" si="97"/>
        <v>51.362458147581897</v>
      </c>
      <c r="G242" s="306">
        <f t="shared" ca="1" si="98"/>
        <v>33.111980587580618</v>
      </c>
      <c r="H242" s="307">
        <f t="shared" ca="1" si="99"/>
        <v>139.81451233030486</v>
      </c>
      <c r="I242" s="304">
        <f t="shared" ca="1" si="100"/>
        <v>143.68194429570224</v>
      </c>
      <c r="J242" s="306">
        <f t="shared" ca="1" si="101"/>
        <v>37.706925140159946</v>
      </c>
      <c r="K242" s="307">
        <f t="shared" ca="1" si="102"/>
        <v>171.89171929615185</v>
      </c>
      <c r="L242" s="304">
        <f t="shared" ca="1" si="87"/>
        <v>175.97890602601407</v>
      </c>
      <c r="M242" s="306">
        <f t="shared" ca="1" si="103"/>
        <v>1.3382528138246537</v>
      </c>
      <c r="N242" s="304">
        <f t="shared" ca="1" si="104"/>
        <v>76.676238153659369</v>
      </c>
      <c r="P242" s="310">
        <f t="shared" ca="1" si="105"/>
        <v>8</v>
      </c>
      <c r="Q242" s="304">
        <f t="shared" ca="1" si="106"/>
        <v>854.63611111111209</v>
      </c>
      <c r="R242" s="306">
        <f t="shared" ca="1" si="107"/>
        <v>0.42811479936863633</v>
      </c>
      <c r="S242" s="307">
        <f t="shared" ca="1" si="108"/>
        <v>13.116679792692141</v>
      </c>
      <c r="T242" s="304">
        <f t="shared" ca="1" si="88"/>
        <v>128.67462876630989</v>
      </c>
      <c r="U242" s="311">
        <f t="shared" ca="1" si="89"/>
        <v>0</v>
      </c>
      <c r="V242" s="306">
        <f t="shared" ca="1" si="90"/>
        <v>1.2041226961687128</v>
      </c>
      <c r="W242" s="304">
        <f t="shared" ca="1" si="91"/>
        <v>56.764298803091776</v>
      </c>
      <c r="Y242" s="314" t="str">
        <f t="shared" ca="1" si="109"/>
        <v/>
      </c>
      <c r="Z242" s="315" t="str">
        <f t="shared" ca="1" si="110"/>
        <v/>
      </c>
      <c r="AA242" s="316" t="str">
        <f t="shared" ca="1" si="111"/>
        <v/>
      </c>
      <c r="AC242" s="310" t="e">
        <f t="shared" ca="1" si="112"/>
        <v>#N/A</v>
      </c>
      <c r="AD242" s="323" t="e">
        <f t="shared" ca="1" si="113"/>
        <v>#N/A</v>
      </c>
      <c r="AE242" s="324">
        <f t="shared" ca="1" si="92"/>
        <v>171.89171929615185</v>
      </c>
      <c r="AG242" s="306">
        <f t="shared" ca="1" si="114"/>
        <v>51.31274612059417</v>
      </c>
      <c r="AH242" s="304">
        <f t="shared" ca="1" si="115"/>
        <v>60.85904946138794</v>
      </c>
    </row>
    <row r="243" spans="1:34" x14ac:dyDescent="0.25">
      <c r="A243" s="347">
        <f t="shared" ca="1" si="93"/>
        <v>0.01</v>
      </c>
      <c r="B243" s="304">
        <f t="shared" ca="1" si="94"/>
        <v>2.389999999999993</v>
      </c>
      <c r="D243" s="306">
        <f t="shared" ca="1" si="95"/>
        <v>13.997477705829134</v>
      </c>
      <c r="E243" s="307">
        <f t="shared" ca="1" si="96"/>
        <v>49.294000563132997</v>
      </c>
      <c r="F243" s="304">
        <f t="shared" ca="1" si="97"/>
        <v>51.242832412380757</v>
      </c>
      <c r="G243" s="306">
        <f t="shared" ca="1" si="98"/>
        <v>33.25195536463891</v>
      </c>
      <c r="H243" s="307">
        <f t="shared" ca="1" si="99"/>
        <v>140.3074523359362</v>
      </c>
      <c r="I243" s="304">
        <f t="shared" ca="1" si="100"/>
        <v>144.19387544751319</v>
      </c>
      <c r="J243" s="306">
        <f t="shared" ca="1" si="101"/>
        <v>38.038744819921043</v>
      </c>
      <c r="K243" s="307">
        <f t="shared" ca="1" si="102"/>
        <v>173.29232911948304</v>
      </c>
      <c r="L243" s="304">
        <f t="shared" ca="1" si="87"/>
        <v>177.41808656146165</v>
      </c>
      <c r="M243" s="306">
        <f t="shared" ca="1" si="103"/>
        <v>1.3380960285910684</v>
      </c>
      <c r="N243" s="304">
        <f t="shared" ca="1" si="104"/>
        <v>76.667255021484948</v>
      </c>
      <c r="P243" s="310">
        <f t="shared" ca="1" si="105"/>
        <v>8</v>
      </c>
      <c r="Q243" s="304">
        <f t="shared" ca="1" si="106"/>
        <v>853.19722222222322</v>
      </c>
      <c r="R243" s="306">
        <f t="shared" ca="1" si="107"/>
        <v>0.42739401350437001</v>
      </c>
      <c r="S243" s="307">
        <f t="shared" ca="1" si="108"/>
        <v>13.112405852557098</v>
      </c>
      <c r="T243" s="304">
        <f t="shared" ca="1" si="88"/>
        <v>128.63270141358512</v>
      </c>
      <c r="U243" s="311">
        <f t="shared" ca="1" si="89"/>
        <v>0</v>
      </c>
      <c r="V243" s="306">
        <f t="shared" ca="1" si="90"/>
        <v>1.2039540448125128</v>
      </c>
      <c r="W243" s="304">
        <f t="shared" ca="1" si="91"/>
        <v>57.161508524390818</v>
      </c>
      <c r="Y243" s="314" t="str">
        <f t="shared" ca="1" si="109"/>
        <v/>
      </c>
      <c r="Z243" s="315" t="str">
        <f t="shared" ca="1" si="110"/>
        <v/>
      </c>
      <c r="AA243" s="316" t="str">
        <f t="shared" ca="1" si="111"/>
        <v/>
      </c>
      <c r="AC243" s="310" t="e">
        <f t="shared" ca="1" si="112"/>
        <v>#N/A</v>
      </c>
      <c r="AD243" s="323" t="e">
        <f t="shared" ca="1" si="113"/>
        <v>#N/A</v>
      </c>
      <c r="AE243" s="324">
        <f t="shared" ca="1" si="92"/>
        <v>173.29232911948304</v>
      </c>
      <c r="AG243" s="306">
        <f t="shared" ca="1" si="114"/>
        <v>51.19293795521623</v>
      </c>
      <c r="AH243" s="304">
        <f t="shared" ca="1" si="115"/>
        <v>60.738885935552105</v>
      </c>
    </row>
    <row r="244" spans="1:34" x14ac:dyDescent="0.25">
      <c r="A244" s="347">
        <f t="shared" ca="1" si="93"/>
        <v>0.01</v>
      </c>
      <c r="B244" s="304">
        <f t="shared" ca="1" si="94"/>
        <v>2.3999999999999928</v>
      </c>
      <c r="D244" s="306">
        <f t="shared" ca="1" si="95"/>
        <v>13.979001702112491</v>
      </c>
      <c r="E244" s="307">
        <f t="shared" ca="1" si="96"/>
        <v>49.174745213175797</v>
      </c>
      <c r="F244" s="304">
        <f t="shared" ca="1" si="97"/>
        <v>51.12306774214963</v>
      </c>
      <c r="G244" s="306">
        <f t="shared" ca="1" si="98"/>
        <v>33.391745381660037</v>
      </c>
      <c r="H244" s="307">
        <f t="shared" ca="1" si="99"/>
        <v>140.79919978806797</v>
      </c>
      <c r="I244" s="304">
        <f t="shared" ca="1" si="100"/>
        <v>144.70460711599301</v>
      </c>
      <c r="J244" s="306">
        <f t="shared" ca="1" si="101"/>
        <v>38.371963323652537</v>
      </c>
      <c r="K244" s="307">
        <f t="shared" ca="1" si="102"/>
        <v>174.69786238010306</v>
      </c>
      <c r="L244" s="304">
        <f t="shared" ca="1" si="87"/>
        <v>178.86237918994917</v>
      </c>
      <c r="M244" s="306">
        <f t="shared" ca="1" si="103"/>
        <v>1.3379396933004859</v>
      </c>
      <c r="N244" s="304">
        <f t="shared" ca="1" si="104"/>
        <v>76.658297669145625</v>
      </c>
      <c r="P244" s="310">
        <f t="shared" ca="1" si="105"/>
        <v>8</v>
      </c>
      <c r="Q244" s="304">
        <f t="shared" ca="1" si="106"/>
        <v>851.75833333333435</v>
      </c>
      <c r="R244" s="306">
        <f t="shared" ca="1" si="107"/>
        <v>0.42667322764010368</v>
      </c>
      <c r="S244" s="307">
        <f t="shared" ca="1" si="108"/>
        <v>13.108139120280697</v>
      </c>
      <c r="T244" s="304">
        <f t="shared" ca="1" si="88"/>
        <v>128.59084476995363</v>
      </c>
      <c r="U244" s="311">
        <f t="shared" ca="1" si="89"/>
        <v>0</v>
      </c>
      <c r="V244" s="306">
        <f t="shared" ca="1" si="90"/>
        <v>1.2037848241519709</v>
      </c>
      <c r="W244" s="304">
        <f t="shared" ca="1" si="91"/>
        <v>57.5590640691888</v>
      </c>
      <c r="Y244" s="314" t="str">
        <f t="shared" ca="1" si="109"/>
        <v/>
      </c>
      <c r="Z244" s="315" t="str">
        <f t="shared" ca="1" si="110"/>
        <v/>
      </c>
      <c r="AA244" s="316" t="str">
        <f t="shared" ca="1" si="111"/>
        <v/>
      </c>
      <c r="AC244" s="310" t="e">
        <f t="shared" ca="1" si="112"/>
        <v>#N/A</v>
      </c>
      <c r="AD244" s="323" t="e">
        <f t="shared" ca="1" si="113"/>
        <v>#N/A</v>
      </c>
      <c r="AE244" s="324">
        <f t="shared" ca="1" si="92"/>
        <v>174.69786238010306</v>
      </c>
      <c r="AG244" s="306">
        <f t="shared" ca="1" si="114"/>
        <v>51.072990013719298</v>
      </c>
      <c r="AH244" s="304">
        <f t="shared" ca="1" si="115"/>
        <v>60.618583424977267</v>
      </c>
    </row>
    <row r="245" spans="1:34" x14ac:dyDescent="0.25">
      <c r="A245" s="347">
        <f t="shared" ca="1" si="93"/>
        <v>0.01</v>
      </c>
      <c r="B245" s="304">
        <f t="shared" ca="1" si="94"/>
        <v>2.4099999999999926</v>
      </c>
      <c r="D245" s="306">
        <f t="shared" ca="1" si="95"/>
        <v>13.960430314866091</v>
      </c>
      <c r="E245" s="307">
        <f t="shared" ca="1" si="96"/>
        <v>49.055369107354892</v>
      </c>
      <c r="F245" s="304">
        <f t="shared" ca="1" si="97"/>
        <v>51.003165125657262</v>
      </c>
      <c r="G245" s="306">
        <f t="shared" ca="1" si="98"/>
        <v>33.531349684808696</v>
      </c>
      <c r="H245" s="307">
        <f t="shared" ca="1" si="99"/>
        <v>141.28975347914152</v>
      </c>
      <c r="I245" s="304">
        <f t="shared" ca="1" si="100"/>
        <v>145.2141379132263</v>
      </c>
      <c r="J245" s="306">
        <f t="shared" ca="1" si="101"/>
        <v>38.706578798984879</v>
      </c>
      <c r="K245" s="307">
        <f t="shared" ca="1" si="102"/>
        <v>176.1083071464391</v>
      </c>
      <c r="L245" s="304">
        <f t="shared" ca="1" si="87"/>
        <v>180.31177190717904</v>
      </c>
      <c r="M245" s="306">
        <f t="shared" ca="1" si="103"/>
        <v>1.337783803798392</v>
      </c>
      <c r="N245" s="304">
        <f t="shared" ca="1" si="104"/>
        <v>76.64936585860525</v>
      </c>
      <c r="P245" s="310">
        <f t="shared" ca="1" si="105"/>
        <v>8</v>
      </c>
      <c r="Q245" s="304">
        <f t="shared" ca="1" si="106"/>
        <v>850.31944444444548</v>
      </c>
      <c r="R245" s="306">
        <f t="shared" ca="1" si="107"/>
        <v>0.42595244177583741</v>
      </c>
      <c r="S245" s="307">
        <f t="shared" ca="1" si="108"/>
        <v>13.103879595862939</v>
      </c>
      <c r="T245" s="304">
        <f t="shared" ca="1" si="88"/>
        <v>128.54905883541542</v>
      </c>
      <c r="U245" s="311">
        <f t="shared" ca="1" si="89"/>
        <v>0</v>
      </c>
      <c r="V245" s="306">
        <f t="shared" ca="1" si="90"/>
        <v>1.2036150358661613</v>
      </c>
      <c r="W245" s="304">
        <f t="shared" ca="1" si="91"/>
        <v>57.956953527395527</v>
      </c>
      <c r="Y245" s="314" t="str">
        <f t="shared" ca="1" si="109"/>
        <v/>
      </c>
      <c r="Z245" s="315" t="str">
        <f t="shared" ca="1" si="110"/>
        <v/>
      </c>
      <c r="AA245" s="316" t="str">
        <f t="shared" ca="1" si="111"/>
        <v/>
      </c>
      <c r="AC245" s="310" t="e">
        <f t="shared" ca="1" si="112"/>
        <v>#N/A</v>
      </c>
      <c r="AD245" s="323" t="e">
        <f t="shared" ca="1" si="113"/>
        <v>#N/A</v>
      </c>
      <c r="AE245" s="324">
        <f t="shared" ca="1" si="92"/>
        <v>176.1083071464391</v>
      </c>
      <c r="AG245" s="306">
        <f t="shared" ca="1" si="114"/>
        <v>50.952903276991833</v>
      </c>
      <c r="AH245" s="304">
        <f t="shared" ca="1" si="115"/>
        <v>60.498142903078964</v>
      </c>
    </row>
    <row r="246" spans="1:34" x14ac:dyDescent="0.25">
      <c r="A246" s="347">
        <f t="shared" ca="1" si="93"/>
        <v>0.01</v>
      </c>
      <c r="B246" s="304">
        <f t="shared" ca="1" si="94"/>
        <v>2.4199999999999924</v>
      </c>
      <c r="D246" s="306">
        <f t="shared" ca="1" si="95"/>
        <v>13.93637639729579</v>
      </c>
      <c r="E246" s="307">
        <f t="shared" ca="1" si="96"/>
        <v>48.913171124201135</v>
      </c>
      <c r="F246" s="304">
        <f t="shared" ca="1" si="97"/>
        <v>50.859816127395575</v>
      </c>
      <c r="G246" s="306">
        <f t="shared" ca="1" si="98"/>
        <v>33.670713448781655</v>
      </c>
      <c r="H246" s="307">
        <f t="shared" ca="1" si="99"/>
        <v>141.77888519038353</v>
      </c>
      <c r="I246" s="304">
        <f t="shared" ca="1" si="100"/>
        <v>145.72223313543449</v>
      </c>
      <c r="J246" s="306">
        <f t="shared" ca="1" si="101"/>
        <v>39.042589114652827</v>
      </c>
      <c r="K246" s="307">
        <f t="shared" ca="1" si="102"/>
        <v>177.52365033978674</v>
      </c>
      <c r="L246" s="304">
        <f t="shared" ca="1" si="87"/>
        <v>181.76625152854552</v>
      </c>
      <c r="M246" s="306">
        <f t="shared" ca="1" si="103"/>
        <v>1.3376283557317528</v>
      </c>
      <c r="N246" s="304">
        <f t="shared" ca="1" si="104"/>
        <v>76.640459340453347</v>
      </c>
      <c r="P246" s="310">
        <f t="shared" ca="1" si="105"/>
        <v>9</v>
      </c>
      <c r="Q246" s="304">
        <f t="shared" ca="1" si="106"/>
        <v>848.57500000000164</v>
      </c>
      <c r="R246" s="306">
        <f t="shared" ca="1" si="107"/>
        <v>0.42507859327630249</v>
      </c>
      <c r="S246" s="307">
        <f t="shared" ca="1" si="108"/>
        <v>13.099628809930175</v>
      </c>
      <c r="T246" s="304">
        <f t="shared" ca="1" si="88"/>
        <v>128.50735862541504</v>
      </c>
      <c r="U246" s="311">
        <f t="shared" ca="1" si="89"/>
        <v>0</v>
      </c>
      <c r="V246" s="306">
        <f t="shared" ca="1" si="90"/>
        <v>1.2034446817721782</v>
      </c>
      <c r="W246" s="304">
        <f t="shared" ca="1" si="91"/>
        <v>58.354978146602882</v>
      </c>
      <c r="Y246" s="314" t="str">
        <f t="shared" ca="1" si="109"/>
        <v/>
      </c>
      <c r="Z246" s="315" t="str">
        <f t="shared" ca="1" si="110"/>
        <v/>
      </c>
      <c r="AA246" s="316" t="str">
        <f t="shared" ca="1" si="111"/>
        <v/>
      </c>
      <c r="AC246" s="310" t="e">
        <f t="shared" ca="1" si="112"/>
        <v>#N/A</v>
      </c>
      <c r="AD246" s="323" t="e">
        <f t="shared" ca="1" si="113"/>
        <v>#N/A</v>
      </c>
      <c r="AE246" s="324">
        <f t="shared" ca="1" si="92"/>
        <v>177.52365033978674</v>
      </c>
      <c r="AG246" s="306">
        <f t="shared" ca="1" si="114"/>
        <v>50.8093461584794</v>
      </c>
      <c r="AH246" s="304">
        <f t="shared" ca="1" si="115"/>
        <v>60.354232775914845</v>
      </c>
    </row>
    <row r="247" spans="1:34" x14ac:dyDescent="0.25">
      <c r="A247" s="347">
        <f t="shared" ca="1" si="93"/>
        <v>0.01</v>
      </c>
      <c r="B247" s="304">
        <f t="shared" ca="1" si="94"/>
        <v>2.4299999999999922</v>
      </c>
      <c r="D247" s="306">
        <f t="shared" ca="1" si="95"/>
        <v>13.906826384224145</v>
      </c>
      <c r="E247" s="307">
        <f t="shared" ca="1" si="96"/>
        <v>48.748139680965252</v>
      </c>
      <c r="F247" s="304">
        <f t="shared" ca="1" si="97"/>
        <v>50.693006839561725</v>
      </c>
      <c r="G247" s="306">
        <f t="shared" ca="1" si="98"/>
        <v>33.809781712623895</v>
      </c>
      <c r="H247" s="307">
        <f t="shared" ca="1" si="99"/>
        <v>142.26636658719318</v>
      </c>
      <c r="I247" s="304">
        <f t="shared" ca="1" si="100"/>
        <v>146.22865793467747</v>
      </c>
      <c r="J247" s="306">
        <f t="shared" ca="1" si="101"/>
        <v>39.379991590459852</v>
      </c>
      <c r="K247" s="307">
        <f t="shared" ca="1" si="102"/>
        <v>178.94387659867462</v>
      </c>
      <c r="L247" s="304">
        <f t="shared" ca="1" si="87"/>
        <v>183.22580252198753</v>
      </c>
      <c r="M247" s="306">
        <f t="shared" ca="1" si="103"/>
        <v>1.3374733445540883</v>
      </c>
      <c r="N247" s="304">
        <f t="shared" ca="1" si="104"/>
        <v>76.631577854195825</v>
      </c>
      <c r="P247" s="310">
        <f t="shared" ca="1" si="105"/>
        <v>9</v>
      </c>
      <c r="Q247" s="304">
        <f t="shared" ca="1" si="106"/>
        <v>846.52500000000168</v>
      </c>
      <c r="R247" s="306">
        <f t="shared" ca="1" si="107"/>
        <v>0.42405168214149835</v>
      </c>
      <c r="S247" s="307">
        <f t="shared" ca="1" si="108"/>
        <v>13.09538829310876</v>
      </c>
      <c r="T247" s="304">
        <f t="shared" ca="1" si="88"/>
        <v>128.46575915539694</v>
      </c>
      <c r="U247" s="311">
        <f t="shared" ca="1" si="89"/>
        <v>0</v>
      </c>
      <c r="V247" s="306">
        <f t="shared" ca="1" si="90"/>
        <v>1.2032737639616919</v>
      </c>
      <c r="W247" s="304">
        <f t="shared" ca="1" si="91"/>
        <v>58.752936594854283</v>
      </c>
      <c r="Y247" s="314" t="str">
        <f t="shared" ca="1" si="109"/>
        <v/>
      </c>
      <c r="Z247" s="315" t="str">
        <f t="shared" ca="1" si="110"/>
        <v/>
      </c>
      <c r="AA247" s="316" t="str">
        <f t="shared" ca="1" si="111"/>
        <v/>
      </c>
      <c r="AC247" s="310" t="e">
        <f t="shared" ca="1" si="112"/>
        <v>#N/A</v>
      </c>
      <c r="AD247" s="323" t="e">
        <f t="shared" ca="1" si="113"/>
        <v>#N/A</v>
      </c>
      <c r="AE247" s="324">
        <f t="shared" ca="1" si="92"/>
        <v>178.94387659867462</v>
      </c>
      <c r="AG247" s="306">
        <f t="shared" ca="1" si="114"/>
        <v>50.642304241788594</v>
      </c>
      <c r="AH247" s="304">
        <f t="shared" ca="1" si="115"/>
        <v>60.186838619222975</v>
      </c>
    </row>
    <row r="248" spans="1:34" x14ac:dyDescent="0.25">
      <c r="A248" s="347">
        <f t="shared" ca="1" si="93"/>
        <v>0.01</v>
      </c>
      <c r="B248" s="304">
        <f t="shared" ca="1" si="94"/>
        <v>2.439999999999992</v>
      </c>
      <c r="D248" s="306">
        <f t="shared" ca="1" si="95"/>
        <v>13.877165099039219</v>
      </c>
      <c r="E248" s="307">
        <f t="shared" ca="1" si="96"/>
        <v>48.582978515852709</v>
      </c>
      <c r="F248" s="304">
        <f t="shared" ca="1" si="97"/>
        <v>50.526047863035934</v>
      </c>
      <c r="G248" s="306">
        <f t="shared" ca="1" si="98"/>
        <v>33.948553363614288</v>
      </c>
      <c r="H248" s="307">
        <f t="shared" ca="1" si="99"/>
        <v>142.7521963723517</v>
      </c>
      <c r="I248" s="304">
        <f t="shared" ca="1" si="100"/>
        <v>146.73341079867473</v>
      </c>
      <c r="J248" s="306">
        <f t="shared" ca="1" si="101"/>
        <v>39.71878326584104</v>
      </c>
      <c r="K248" s="307">
        <f t="shared" ca="1" si="102"/>
        <v>180.36896941347234</v>
      </c>
      <c r="L248" s="304">
        <f t="shared" ca="1" si="87"/>
        <v>184.69040817377868</v>
      </c>
      <c r="M248" s="306">
        <f t="shared" ca="1" si="103"/>
        <v>1.3373187657763332</v>
      </c>
      <c r="N248" s="304">
        <f t="shared" ca="1" si="104"/>
        <v>76.622721142628166</v>
      </c>
      <c r="P248" s="310">
        <f t="shared" ca="1" si="105"/>
        <v>9</v>
      </c>
      <c r="Q248" s="304">
        <f t="shared" ca="1" si="106"/>
        <v>844.47500000000173</v>
      </c>
      <c r="R248" s="306">
        <f t="shared" ca="1" si="107"/>
        <v>0.42302477100669422</v>
      </c>
      <c r="S248" s="307">
        <f t="shared" ca="1" si="108"/>
        <v>13.091158045398693</v>
      </c>
      <c r="T248" s="304">
        <f t="shared" ca="1" si="88"/>
        <v>128.42426042536118</v>
      </c>
      <c r="U248" s="311">
        <f t="shared" ca="1" si="89"/>
        <v>0</v>
      </c>
      <c r="V248" s="306">
        <f t="shared" ca="1" si="90"/>
        <v>1.2031022846642307</v>
      </c>
      <c r="W248" s="304">
        <f t="shared" ca="1" si="91"/>
        <v>59.150813214753377</v>
      </c>
      <c r="Y248" s="314" t="str">
        <f t="shared" ca="1" si="109"/>
        <v/>
      </c>
      <c r="Z248" s="315" t="str">
        <f t="shared" ca="1" si="110"/>
        <v/>
      </c>
      <c r="AA248" s="316" t="str">
        <f t="shared" ca="1" si="111"/>
        <v/>
      </c>
      <c r="AC248" s="310" t="e">
        <f t="shared" ca="1" si="112"/>
        <v>#N/A</v>
      </c>
      <c r="AD248" s="323" t="e">
        <f t="shared" ca="1" si="113"/>
        <v>#N/A</v>
      </c>
      <c r="AE248" s="324">
        <f t="shared" ca="1" si="92"/>
        <v>180.36896941347234</v>
      </c>
      <c r="AG248" s="306">
        <f t="shared" ca="1" si="114"/>
        <v>50.475111092927847</v>
      </c>
      <c r="AH248" s="304">
        <f t="shared" ca="1" si="115"/>
        <v>60.019293990672935</v>
      </c>
    </row>
    <row r="249" spans="1:34" x14ac:dyDescent="0.25">
      <c r="A249" s="347">
        <f t="shared" ca="1" si="93"/>
        <v>0.01</v>
      </c>
      <c r="B249" s="304">
        <f t="shared" ca="1" si="94"/>
        <v>2.4499999999999917</v>
      </c>
      <c r="D249" s="306">
        <f t="shared" ca="1" si="95"/>
        <v>13.847393288390885</v>
      </c>
      <c r="E249" s="307">
        <f t="shared" ca="1" si="96"/>
        <v>48.417688961504197</v>
      </c>
      <c r="F249" s="304">
        <f t="shared" ca="1" si="97"/>
        <v>50.358940668528149</v>
      </c>
      <c r="G249" s="306">
        <f t="shared" ca="1" si="98"/>
        <v>34.087027296498199</v>
      </c>
      <c r="H249" s="307">
        <f t="shared" ca="1" si="99"/>
        <v>143.23637326196675</v>
      </c>
      <c r="I249" s="304">
        <f t="shared" ca="1" si="100"/>
        <v>147.23649022967669</v>
      </c>
      <c r="J249" s="306">
        <f t="shared" ca="1" si="101"/>
        <v>40.058961169141604</v>
      </c>
      <c r="K249" s="307">
        <f t="shared" ca="1" si="102"/>
        <v>181.79891226164392</v>
      </c>
      <c r="L249" s="304">
        <f t="shared" ca="1" si="87"/>
        <v>186.16005175511663</v>
      </c>
      <c r="M249" s="306">
        <f t="shared" ca="1" si="103"/>
        <v>1.3371646149658145</v>
      </c>
      <c r="N249" s="304">
        <f t="shared" ca="1" si="104"/>
        <v>76.613888951776929</v>
      </c>
      <c r="P249" s="310">
        <f t="shared" ca="1" si="105"/>
        <v>9</v>
      </c>
      <c r="Q249" s="304">
        <f t="shared" ca="1" si="106"/>
        <v>842.42500000000177</v>
      </c>
      <c r="R249" s="306">
        <f t="shared" ca="1" si="107"/>
        <v>0.42199785987189015</v>
      </c>
      <c r="S249" s="307">
        <f t="shared" ca="1" si="108"/>
        <v>13.086938066799974</v>
      </c>
      <c r="T249" s="304">
        <f t="shared" ca="1" si="88"/>
        <v>128.38286243530774</v>
      </c>
      <c r="U249" s="311">
        <f t="shared" ca="1" si="89"/>
        <v>0</v>
      </c>
      <c r="V249" s="306">
        <f t="shared" ca="1" si="90"/>
        <v>1.2029302461104983</v>
      </c>
      <c r="W249" s="304">
        <f t="shared" ca="1" si="91"/>
        <v>59.548592401455799</v>
      </c>
      <c r="Y249" s="314" t="str">
        <f t="shared" ca="1" si="109"/>
        <v/>
      </c>
      <c r="Z249" s="315" t="str">
        <f t="shared" ca="1" si="110"/>
        <v/>
      </c>
      <c r="AA249" s="316" t="str">
        <f t="shared" ca="1" si="111"/>
        <v/>
      </c>
      <c r="AC249" s="310" t="e">
        <f t="shared" ca="1" si="112"/>
        <v>#N/A</v>
      </c>
      <c r="AD249" s="323" t="e">
        <f t="shared" ca="1" si="113"/>
        <v>#N/A</v>
      </c>
      <c r="AE249" s="324">
        <f t="shared" ca="1" si="92"/>
        <v>181.79891226164392</v>
      </c>
      <c r="AG249" s="306">
        <f t="shared" ca="1" si="114"/>
        <v>50.307768165044635</v>
      </c>
      <c r="AH249" s="304">
        <f t="shared" ca="1" si="115"/>
        <v>59.851600335171078</v>
      </c>
    </row>
    <row r="250" spans="1:34" x14ac:dyDescent="0.25">
      <c r="A250" s="347">
        <f t="shared" ca="1" si="93"/>
        <v>0.01</v>
      </c>
      <c r="B250" s="304">
        <f t="shared" ca="1" si="94"/>
        <v>2.4599999999999915</v>
      </c>
      <c r="D250" s="306">
        <f t="shared" ca="1" si="95"/>
        <v>13.817511693571264</v>
      </c>
      <c r="E250" s="307">
        <f t="shared" ca="1" si="96"/>
        <v>48.252272350023503</v>
      </c>
      <c r="F250" s="304">
        <f t="shared" ca="1" si="97"/>
        <v>50.191686725421185</v>
      </c>
      <c r="G250" s="306">
        <f t="shared" ca="1" si="98"/>
        <v>34.225202413433912</v>
      </c>
      <c r="H250" s="307">
        <f t="shared" ca="1" si="99"/>
        <v>143.71889598546699</v>
      </c>
      <c r="I250" s="304">
        <f t="shared" ca="1" si="100"/>
        <v>147.73789474444936</v>
      </c>
      <c r="J250" s="306">
        <f t="shared" ca="1" si="101"/>
        <v>40.400522317691262</v>
      </c>
      <c r="K250" s="307">
        <f t="shared" ca="1" si="102"/>
        <v>183.23368860788108</v>
      </c>
      <c r="L250" s="304">
        <f t="shared" ca="1" si="87"/>
        <v>187.63471652226886</v>
      </c>
      <c r="M250" s="306">
        <f t="shared" ca="1" si="103"/>
        <v>1.3370108877452485</v>
      </c>
      <c r="N250" s="304">
        <f t="shared" ca="1" si="104"/>
        <v>76.605081030842214</v>
      </c>
      <c r="P250" s="310">
        <f t="shared" ca="1" si="105"/>
        <v>9</v>
      </c>
      <c r="Q250" s="304">
        <f t="shared" ca="1" si="106"/>
        <v>840.37500000000182</v>
      </c>
      <c r="R250" s="306">
        <f t="shared" ca="1" si="107"/>
        <v>0.42097094873708601</v>
      </c>
      <c r="S250" s="307">
        <f t="shared" ca="1" si="108"/>
        <v>13.082728357312602</v>
      </c>
      <c r="T250" s="304">
        <f t="shared" ca="1" si="88"/>
        <v>128.34156518523665</v>
      </c>
      <c r="U250" s="311">
        <f t="shared" ca="1" si="89"/>
        <v>0</v>
      </c>
      <c r="V250" s="306">
        <f t="shared" ca="1" si="90"/>
        <v>1.2027576505323478</v>
      </c>
      <c r="W250" s="304">
        <f t="shared" ca="1" si="91"/>
        <v>59.946258603038778</v>
      </c>
      <c r="Y250" s="314" t="str">
        <f t="shared" ca="1" si="109"/>
        <v/>
      </c>
      <c r="Z250" s="315" t="str">
        <f t="shared" ca="1" si="110"/>
        <v/>
      </c>
      <c r="AA250" s="316" t="str">
        <f t="shared" ca="1" si="111"/>
        <v/>
      </c>
      <c r="AC250" s="310" t="e">
        <f t="shared" ca="1" si="112"/>
        <v>#N/A</v>
      </c>
      <c r="AD250" s="323" t="e">
        <f t="shared" ca="1" si="113"/>
        <v>#N/A</v>
      </c>
      <c r="AE250" s="324">
        <f t="shared" ca="1" si="92"/>
        <v>183.23368860788108</v>
      </c>
      <c r="AG250" s="306">
        <f t="shared" ca="1" si="114"/>
        <v>50.140276909741864</v>
      </c>
      <c r="AH250" s="304">
        <f t="shared" ca="1" si="115"/>
        <v>59.683759096175258</v>
      </c>
    </row>
    <row r="251" spans="1:34" x14ac:dyDescent="0.25">
      <c r="A251" s="347">
        <f t="shared" ca="1" si="93"/>
        <v>0.01</v>
      </c>
      <c r="B251" s="304">
        <f t="shared" ca="1" si="94"/>
        <v>2.4699999999999913</v>
      </c>
      <c r="D251" s="306">
        <f t="shared" ca="1" si="95"/>
        <v>13.787521050596778</v>
      </c>
      <c r="E251" s="307">
        <f t="shared" ca="1" si="96"/>
        <v>48.08673001292096</v>
      </c>
      <c r="F251" s="304">
        <f t="shared" ca="1" si="97"/>
        <v>50.024287501734626</v>
      </c>
      <c r="G251" s="306">
        <f t="shared" ca="1" si="98"/>
        <v>34.36307762393988</v>
      </c>
      <c r="H251" s="307">
        <f t="shared" ca="1" si="99"/>
        <v>144.19976328559619</v>
      </c>
      <c r="I251" s="304">
        <f t="shared" ca="1" si="100"/>
        <v>148.23762287425853</v>
      </c>
      <c r="J251" s="306">
        <f t="shared" ca="1" si="101"/>
        <v>40.743463717878129</v>
      </c>
      <c r="K251" s="307">
        <f t="shared" ca="1" si="102"/>
        <v>184.6732819042364</v>
      </c>
      <c r="L251" s="304">
        <f t="shared" ca="1" si="87"/>
        <v>189.11438571671806</v>
      </c>
      <c r="M251" s="306">
        <f t="shared" ca="1" si="103"/>
        <v>1.336857579791763</v>
      </c>
      <c r="N251" s="304">
        <f t="shared" ca="1" si="104"/>
        <v>76.596297132141714</v>
      </c>
      <c r="P251" s="310">
        <f t="shared" ca="1" si="105"/>
        <v>9</v>
      </c>
      <c r="Q251" s="304">
        <f t="shared" ca="1" si="106"/>
        <v>838.32500000000175</v>
      </c>
      <c r="R251" s="306">
        <f t="shared" ca="1" si="107"/>
        <v>0.41994403760228183</v>
      </c>
      <c r="S251" s="307">
        <f t="shared" ca="1" si="108"/>
        <v>13.078528916936579</v>
      </c>
      <c r="T251" s="304">
        <f t="shared" ca="1" si="88"/>
        <v>128.30036867514784</v>
      </c>
      <c r="U251" s="311">
        <f t="shared" ca="1" si="89"/>
        <v>0</v>
      </c>
      <c r="V251" s="306">
        <f t="shared" ca="1" si="90"/>
        <v>1.2025845001627544</v>
      </c>
      <c r="W251" s="304">
        <f t="shared" ca="1" si="91"/>
        <v>60.343796320866758</v>
      </c>
      <c r="Y251" s="314" t="str">
        <f t="shared" ca="1" si="109"/>
        <v/>
      </c>
      <c r="Z251" s="315" t="str">
        <f t="shared" ca="1" si="110"/>
        <v/>
      </c>
      <c r="AA251" s="316" t="str">
        <f t="shared" ca="1" si="111"/>
        <v/>
      </c>
      <c r="AC251" s="310" t="e">
        <f t="shared" ca="1" si="112"/>
        <v>#N/A</v>
      </c>
      <c r="AD251" s="323" t="e">
        <f t="shared" ca="1" si="113"/>
        <v>#N/A</v>
      </c>
      <c r="AE251" s="324">
        <f t="shared" ca="1" si="92"/>
        <v>184.6732819042364</v>
      </c>
      <c r="AG251" s="306">
        <f t="shared" ca="1" si="114"/>
        <v>49.972638777037652</v>
      </c>
      <c r="AH251" s="304">
        <f t="shared" ca="1" si="115"/>
        <v>59.515771715652924</v>
      </c>
    </row>
    <row r="252" spans="1:34" x14ac:dyDescent="0.25">
      <c r="A252" s="347">
        <f t="shared" ca="1" si="93"/>
        <v>0.01</v>
      </c>
      <c r="B252" s="304">
        <f t="shared" ca="1" si="94"/>
        <v>2.4799999999999911</v>
      </c>
      <c r="D252" s="306">
        <f t="shared" ca="1" si="95"/>
        <v>13.757422090288021</v>
      </c>
      <c r="E252" s="307">
        <f t="shared" ca="1" si="96"/>
        <v>47.921063281057492</v>
      </c>
      <c r="F252" s="304">
        <f t="shared" ca="1" si="97"/>
        <v>49.856744464088926</v>
      </c>
      <c r="G252" s="306">
        <f t="shared" ca="1" si="98"/>
        <v>34.500651844842757</v>
      </c>
      <c r="H252" s="307">
        <f t="shared" ca="1" si="99"/>
        <v>144.67897391840677</v>
      </c>
      <c r="I252" s="304">
        <f t="shared" ca="1" si="100"/>
        <v>148.73567316485335</v>
      </c>
      <c r="J252" s="306">
        <f t="shared" ca="1" si="101"/>
        <v>41.08778236522204</v>
      </c>
      <c r="K252" s="307">
        <f t="shared" ca="1" si="102"/>
        <v>186.11767559025643</v>
      </c>
      <c r="L252" s="304">
        <f t="shared" ca="1" si="87"/>
        <v>190.5990425653072</v>
      </c>
      <c r="M252" s="306">
        <f t="shared" ca="1" si="103"/>
        <v>1.3367046868359389</v>
      </c>
      <c r="N252" s="304">
        <f t="shared" ca="1" si="104"/>
        <v>76.587537011055716</v>
      </c>
      <c r="P252" s="310">
        <f t="shared" ca="1" si="105"/>
        <v>9</v>
      </c>
      <c r="Q252" s="304">
        <f t="shared" ca="1" si="106"/>
        <v>836.2750000000018</v>
      </c>
      <c r="R252" s="306">
        <f t="shared" ca="1" si="107"/>
        <v>0.41891712646747775</v>
      </c>
      <c r="S252" s="307">
        <f t="shared" ca="1" si="108"/>
        <v>13.074339745671903</v>
      </c>
      <c r="T252" s="304">
        <f t="shared" ca="1" si="88"/>
        <v>128.25927290504137</v>
      </c>
      <c r="U252" s="311">
        <f t="shared" ca="1" si="89"/>
        <v>0</v>
      </c>
      <c r="V252" s="306">
        <f t="shared" ca="1" si="90"/>
        <v>1.2024107972357894</v>
      </c>
      <c r="W252" s="304">
        <f t="shared" ca="1" si="91"/>
        <v>60.741190109953422</v>
      </c>
      <c r="Y252" s="314" t="str">
        <f t="shared" ca="1" si="109"/>
        <v/>
      </c>
      <c r="Z252" s="315" t="str">
        <f t="shared" ca="1" si="110"/>
        <v/>
      </c>
      <c r="AA252" s="316" t="str">
        <f t="shared" ca="1" si="111"/>
        <v/>
      </c>
      <c r="AC252" s="310" t="e">
        <f t="shared" ca="1" si="112"/>
        <v>#N/A</v>
      </c>
      <c r="AD252" s="323" t="e">
        <f t="shared" ca="1" si="113"/>
        <v>#N/A</v>
      </c>
      <c r="AE252" s="324">
        <f t="shared" ca="1" si="92"/>
        <v>186.11767559025643</v>
      </c>
      <c r="AG252" s="306">
        <f t="shared" ca="1" si="114"/>
        <v>49.804855215325297</v>
      </c>
      <c r="AH252" s="304">
        <f t="shared" ca="1" si="115"/>
        <v>59.347639634039446</v>
      </c>
    </row>
    <row r="253" spans="1:34" x14ac:dyDescent="0.25">
      <c r="A253" s="347">
        <f t="shared" ca="1" si="93"/>
        <v>0.01</v>
      </c>
      <c r="B253" s="304">
        <f t="shared" ca="1" si="94"/>
        <v>2.4899999999999909</v>
      </c>
      <c r="D253" s="306">
        <f t="shared" ca="1" si="95"/>
        <v>13.727215538347782</v>
      </c>
      <c r="E253" s="307">
        <f t="shared" ca="1" si="96"/>
        <v>47.755273484589075</v>
      </c>
      <c r="F253" s="304">
        <f t="shared" ca="1" si="97"/>
        <v>49.689059077669732</v>
      </c>
      <c r="G253" s="306">
        <f t="shared" ca="1" si="98"/>
        <v>34.637924000226235</v>
      </c>
      <c r="H253" s="307">
        <f t="shared" ca="1" si="99"/>
        <v>145.15652665325266</v>
      </c>
      <c r="I253" s="304">
        <f t="shared" ca="1" si="100"/>
        <v>149.2320441764499</v>
      </c>
      <c r="J253" s="306">
        <f t="shared" ca="1" si="101"/>
        <v>41.433475244447386</v>
      </c>
      <c r="K253" s="307">
        <f t="shared" ca="1" si="102"/>
        <v>187.56685309311473</v>
      </c>
      <c r="L253" s="304">
        <f t="shared" ca="1" si="87"/>
        <v>192.0886702803846</v>
      </c>
      <c r="M253" s="306">
        <f t="shared" ca="1" si="103"/>
        <v>1.3365522046608731</v>
      </c>
      <c r="N253" s="304">
        <f t="shared" ca="1" si="104"/>
        <v>76.578800425973469</v>
      </c>
      <c r="P253" s="310">
        <f t="shared" ca="1" si="105"/>
        <v>9</v>
      </c>
      <c r="Q253" s="304">
        <f t="shared" ca="1" si="106"/>
        <v>834.22500000000184</v>
      </c>
      <c r="R253" s="306">
        <f t="shared" ca="1" si="107"/>
        <v>0.41789021533267362</v>
      </c>
      <c r="S253" s="307">
        <f t="shared" ca="1" si="108"/>
        <v>13.070160843518575</v>
      </c>
      <c r="T253" s="304">
        <f t="shared" ca="1" si="88"/>
        <v>128.21827787491722</v>
      </c>
      <c r="U253" s="311">
        <f t="shared" ca="1" si="89"/>
        <v>0</v>
      </c>
      <c r="V253" s="306">
        <f t="shared" ca="1" si="90"/>
        <v>1.2022365439865914</v>
      </c>
      <c r="W253" s="304">
        <f t="shared" ca="1" si="91"/>
        <v>61.138424579320194</v>
      </c>
      <c r="Y253" s="314" t="str">
        <f t="shared" ca="1" si="109"/>
        <v/>
      </c>
      <c r="Z253" s="315" t="str">
        <f t="shared" ca="1" si="110"/>
        <v/>
      </c>
      <c r="AA253" s="316" t="str">
        <f t="shared" ca="1" si="111"/>
        <v/>
      </c>
      <c r="AC253" s="310" t="e">
        <f t="shared" ca="1" si="112"/>
        <v>#N/A</v>
      </c>
      <c r="AD253" s="323" t="e">
        <f t="shared" ca="1" si="113"/>
        <v>#N/A</v>
      </c>
      <c r="AE253" s="324">
        <f t="shared" ca="1" si="92"/>
        <v>187.56685309311473</v>
      </c>
      <c r="AG253" s="306">
        <f t="shared" ca="1" si="114"/>
        <v>49.636927671333318</v>
      </c>
      <c r="AH253" s="304">
        <f t="shared" ca="1" si="115"/>
        <v>59.179364290196553</v>
      </c>
    </row>
    <row r="254" spans="1:34" x14ac:dyDescent="0.25">
      <c r="A254" s="347">
        <f t="shared" ca="1" si="93"/>
        <v>0.01</v>
      </c>
      <c r="B254" s="304">
        <f t="shared" ca="1" si="94"/>
        <v>2.4999999999999907</v>
      </c>
      <c r="D254" s="306">
        <f t="shared" ca="1" si="95"/>
        <v>13.696902115437123</v>
      </c>
      <c r="E254" s="307">
        <f t="shared" ca="1" si="96"/>
        <v>47.589361952911943</v>
      </c>
      <c r="F254" s="304">
        <f t="shared" ca="1" si="97"/>
        <v>49.521232806192629</v>
      </c>
      <c r="G254" s="306">
        <f t="shared" ca="1" si="98"/>
        <v>34.774893021380606</v>
      </c>
      <c r="H254" s="307">
        <f t="shared" ca="1" si="99"/>
        <v>145.63242027278179</v>
      </c>
      <c r="I254" s="304">
        <f t="shared" ca="1" si="100"/>
        <v>149.72673448371407</v>
      </c>
      <c r="J254" s="306">
        <f t="shared" ca="1" si="101"/>
        <v>41.780539329555424</v>
      </c>
      <c r="K254" s="307">
        <f t="shared" ca="1" si="102"/>
        <v>189.0207978277449</v>
      </c>
      <c r="L254" s="304">
        <f t="shared" ca="1" si="87"/>
        <v>193.58325205994896</v>
      </c>
      <c r="M254" s="306">
        <f t="shared" ca="1" si="103"/>
        <v>1.3364001291012613</v>
      </c>
      <c r="N254" s="304">
        <f t="shared" ca="1" si="104"/>
        <v>76.570087138240623</v>
      </c>
      <c r="P254" s="310">
        <f t="shared" ca="1" si="105"/>
        <v>9</v>
      </c>
      <c r="Q254" s="304">
        <f t="shared" ca="1" si="106"/>
        <v>832.17500000000189</v>
      </c>
      <c r="R254" s="306">
        <f t="shared" ca="1" si="107"/>
        <v>0.41686330419786954</v>
      </c>
      <c r="S254" s="307">
        <f t="shared" ca="1" si="108"/>
        <v>13.065992210476598</v>
      </c>
      <c r="T254" s="304">
        <f t="shared" ca="1" si="88"/>
        <v>128.17738358477544</v>
      </c>
      <c r="U254" s="311">
        <f t="shared" ca="1" si="89"/>
        <v>0</v>
      </c>
      <c r="V254" s="306">
        <f t="shared" ca="1" si="90"/>
        <v>1.2020617426513422</v>
      </c>
      <c r="W254" s="304">
        <f t="shared" ca="1" si="91"/>
        <v>61.535484392350988</v>
      </c>
      <c r="Y254" s="314" t="str">
        <f t="shared" ca="1" si="109"/>
        <v/>
      </c>
      <c r="Z254" s="315" t="str">
        <f t="shared" ca="1" si="110"/>
        <v/>
      </c>
      <c r="AA254" s="316" t="str">
        <f t="shared" ca="1" si="111"/>
        <v/>
      </c>
      <c r="AC254" s="310" t="e">
        <f t="shared" ca="1" si="112"/>
        <v>#N/A</v>
      </c>
      <c r="AD254" s="323" t="e">
        <f t="shared" ca="1" si="113"/>
        <v>#N/A</v>
      </c>
      <c r="AE254" s="324">
        <f t="shared" ca="1" si="92"/>
        <v>189.0207978277449</v>
      </c>
      <c r="AG254" s="306">
        <f t="shared" ca="1" si="114"/>
        <v>49.46885759008584</v>
      </c>
      <c r="AH254" s="304">
        <f t="shared" ca="1" si="115"/>
        <v>59.010947121371146</v>
      </c>
    </row>
    <row r="255" spans="1:34" x14ac:dyDescent="0.25">
      <c r="A255" s="347">
        <f t="shared" ca="1" si="93"/>
        <v>0.01</v>
      </c>
      <c r="B255" s="304">
        <f t="shared" ca="1" si="94"/>
        <v>2.5099999999999905</v>
      </c>
      <c r="D255" s="306">
        <f t="shared" ca="1" si="95"/>
        <v>13.666482537249635</v>
      </c>
      <c r="E255" s="307">
        <f t="shared" ca="1" si="96"/>
        <v>47.42333001460819</v>
      </c>
      <c r="F255" s="304">
        <f t="shared" ca="1" si="97"/>
        <v>49.353267111867957</v>
      </c>
      <c r="G255" s="306">
        <f t="shared" ca="1" si="98"/>
        <v>34.911557846753105</v>
      </c>
      <c r="H255" s="307">
        <f t="shared" ca="1" si="99"/>
        <v>146.10665357292785</v>
      </c>
      <c r="I255" s="304">
        <f t="shared" ca="1" si="100"/>
        <v>150.21974267574399</v>
      </c>
      <c r="J255" s="306">
        <f t="shared" ca="1" si="101"/>
        <v>42.128971583896096</v>
      </c>
      <c r="K255" s="307">
        <f t="shared" ca="1" si="102"/>
        <v>190.47949319697344</v>
      </c>
      <c r="L255" s="304">
        <f t="shared" ca="1" si="87"/>
        <v>195.08277108779384</v>
      </c>
      <c r="M255" s="306">
        <f t="shared" ca="1" si="103"/>
        <v>1.3362484560425014</v>
      </c>
      <c r="N255" s="304">
        <f t="shared" ca="1" si="104"/>
        <v>76.561396912107838</v>
      </c>
      <c r="P255" s="310">
        <f t="shared" ca="1" si="105"/>
        <v>9</v>
      </c>
      <c r="Q255" s="304">
        <f t="shared" ca="1" si="106"/>
        <v>830.12500000000193</v>
      </c>
      <c r="R255" s="306">
        <f t="shared" ca="1" si="107"/>
        <v>0.41583639306306541</v>
      </c>
      <c r="S255" s="307">
        <f t="shared" ca="1" si="108"/>
        <v>13.061833846545968</v>
      </c>
      <c r="T255" s="304">
        <f t="shared" ca="1" si="88"/>
        <v>128.13659003461595</v>
      </c>
      <c r="U255" s="311">
        <f t="shared" ca="1" si="89"/>
        <v>0</v>
      </c>
      <c r="V255" s="306">
        <f t="shared" ca="1" si="90"/>
        <v>1.2018863954672385</v>
      </c>
      <c r="W255" s="304">
        <f t="shared" ca="1" si="91"/>
        <v>61.932354267143211</v>
      </c>
      <c r="Y255" s="314" t="str">
        <f t="shared" ca="1" si="109"/>
        <v/>
      </c>
      <c r="Z255" s="315" t="str">
        <f t="shared" ca="1" si="110"/>
        <v/>
      </c>
      <c r="AA255" s="316" t="str">
        <f t="shared" ca="1" si="111"/>
        <v/>
      </c>
      <c r="AC255" s="310" t="e">
        <f t="shared" ca="1" si="112"/>
        <v>#N/A</v>
      </c>
      <c r="AD255" s="323" t="e">
        <f t="shared" ca="1" si="113"/>
        <v>#N/A</v>
      </c>
      <c r="AE255" s="324">
        <f t="shared" ca="1" si="92"/>
        <v>190.47949319697344</v>
      </c>
      <c r="AG255" s="306">
        <f t="shared" ca="1" si="114"/>
        <v>49.300646414863046</v>
      </c>
      <c r="AH255" s="304">
        <f t="shared" ca="1" si="115"/>
        <v>58.842389563154214</v>
      </c>
    </row>
    <row r="256" spans="1:34" x14ac:dyDescent="0.25">
      <c r="A256" s="347">
        <f t="shared" ca="1" si="93"/>
        <v>0.01</v>
      </c>
      <c r="B256" s="304">
        <f t="shared" ca="1" si="94"/>
        <v>2.5199999999999902</v>
      </c>
      <c r="D256" s="306">
        <f t="shared" ca="1" si="95"/>
        <v>13.635957514583851</v>
      </c>
      <c r="E256" s="307">
        <f t="shared" ca="1" si="96"/>
        <v>47.257178997391989</v>
      </c>
      <c r="F256" s="304">
        <f t="shared" ca="1" si="97"/>
        <v>49.185163455366116</v>
      </c>
      <c r="G256" s="306">
        <f t="shared" ca="1" si="98"/>
        <v>35.047917421898944</v>
      </c>
      <c r="H256" s="307">
        <f t="shared" ca="1" si="99"/>
        <v>146.57922536290178</v>
      </c>
      <c r="I256" s="304">
        <f t="shared" ca="1" si="100"/>
        <v>150.7110673560525</v>
      </c>
      <c r="J256" s="306">
        <f t="shared" ca="1" si="101"/>
        <v>42.478768960239357</v>
      </c>
      <c r="K256" s="307">
        <f t="shared" ca="1" si="102"/>
        <v>191.94292259165258</v>
      </c>
      <c r="L256" s="304">
        <f t="shared" ca="1" si="87"/>
        <v>196.5872105336523</v>
      </c>
      <c r="M256" s="306">
        <f t="shared" ca="1" si="103"/>
        <v>1.3360971814198153</v>
      </c>
      <c r="N256" s="304">
        <f t="shared" ca="1" si="104"/>
        <v>76.552729514680493</v>
      </c>
      <c r="P256" s="310">
        <f t="shared" ca="1" si="105"/>
        <v>9</v>
      </c>
      <c r="Q256" s="304">
        <f t="shared" ca="1" si="106"/>
        <v>828.07500000000198</v>
      </c>
      <c r="R256" s="306">
        <f t="shared" ca="1" si="107"/>
        <v>0.41480948192826128</v>
      </c>
      <c r="S256" s="307">
        <f t="shared" ca="1" si="108"/>
        <v>13.057685751726686</v>
      </c>
      <c r="T256" s="304">
        <f t="shared" ca="1" si="88"/>
        <v>128.0958972244388</v>
      </c>
      <c r="U256" s="311">
        <f t="shared" ca="1" si="89"/>
        <v>0</v>
      </c>
      <c r="V256" s="306">
        <f t="shared" ca="1" si="90"/>
        <v>1.201710504672465</v>
      </c>
      <c r="W256" s="304">
        <f t="shared" ca="1" si="91"/>
        <v>62.329018976855338</v>
      </c>
      <c r="Y256" s="314" t="str">
        <f t="shared" ca="1" si="109"/>
        <v/>
      </c>
      <c r="Z256" s="315" t="str">
        <f t="shared" ca="1" si="110"/>
        <v/>
      </c>
      <c r="AA256" s="316" t="str">
        <f t="shared" ca="1" si="111"/>
        <v/>
      </c>
      <c r="AC256" s="310" t="e">
        <f t="shared" ca="1" si="112"/>
        <v>#N/A</v>
      </c>
      <c r="AD256" s="323" t="e">
        <f t="shared" ca="1" si="113"/>
        <v>#N/A</v>
      </c>
      <c r="AE256" s="324">
        <f t="shared" ca="1" si="92"/>
        <v>191.94292259165258</v>
      </c>
      <c r="AG256" s="306">
        <f t="shared" ca="1" si="114"/>
        <v>49.13229558716192</v>
      </c>
      <c r="AH256" s="304">
        <f t="shared" ca="1" si="115"/>
        <v>58.673693049440082</v>
      </c>
    </row>
    <row r="257" spans="1:34" x14ac:dyDescent="0.25">
      <c r="A257" s="347">
        <f t="shared" ca="1" si="93"/>
        <v>0.01</v>
      </c>
      <c r="B257" s="304">
        <f t="shared" ca="1" si="94"/>
        <v>2.52999999999999</v>
      </c>
      <c r="D257" s="306">
        <f t="shared" ca="1" si="95"/>
        <v>13.605327753413913</v>
      </c>
      <c r="E257" s="307">
        <f t="shared" ca="1" si="96"/>
        <v>47.09091022805621</v>
      </c>
      <c r="F257" s="304">
        <f t="shared" ca="1" si="97"/>
        <v>49.016923295782895</v>
      </c>
      <c r="G257" s="306">
        <f t="shared" ca="1" si="98"/>
        <v>35.183970699433083</v>
      </c>
      <c r="H257" s="307">
        <f t="shared" ca="1" si="99"/>
        <v>147.05013446518234</v>
      </c>
      <c r="I257" s="304">
        <f t="shared" ca="1" si="100"/>
        <v>151.20070714254868</v>
      </c>
      <c r="J257" s="306">
        <f t="shared" ca="1" si="101"/>
        <v>42.829928400846015</v>
      </c>
      <c r="K257" s="307">
        <f t="shared" ca="1" si="102"/>
        <v>193.41106939079299</v>
      </c>
      <c r="L257" s="304">
        <f t="shared" ca="1" si="87"/>
        <v>198.09655355334107</v>
      </c>
      <c r="M257" s="306">
        <f t="shared" ca="1" si="103"/>
        <v>1.3359463012173896</v>
      </c>
      <c r="N257" s="304">
        <f t="shared" ca="1" si="104"/>
        <v>76.544084715869417</v>
      </c>
      <c r="P257" s="310">
        <f t="shared" ca="1" si="105"/>
        <v>9</v>
      </c>
      <c r="Q257" s="304">
        <f t="shared" ca="1" si="106"/>
        <v>826.02500000000202</v>
      </c>
      <c r="R257" s="306">
        <f t="shared" ca="1" si="107"/>
        <v>0.41378257079345721</v>
      </c>
      <c r="S257" s="307">
        <f t="shared" ca="1" si="108"/>
        <v>13.053547926018751</v>
      </c>
      <c r="T257" s="304">
        <f t="shared" ca="1" si="88"/>
        <v>128.05530515424397</v>
      </c>
      <c r="U257" s="311">
        <f t="shared" ca="1" si="89"/>
        <v>0</v>
      </c>
      <c r="V257" s="306">
        <f t="shared" ca="1" si="90"/>
        <v>1.2015340725061694</v>
      </c>
      <c r="W257" s="304">
        <f t="shared" ca="1" si="91"/>
        <v>62.725463350050553</v>
      </c>
      <c r="Y257" s="314" t="str">
        <f t="shared" ca="1" si="109"/>
        <v/>
      </c>
      <c r="Z257" s="315" t="str">
        <f t="shared" ca="1" si="110"/>
        <v/>
      </c>
      <c r="AA257" s="316" t="str">
        <f t="shared" ca="1" si="111"/>
        <v/>
      </c>
      <c r="AC257" s="310" t="e">
        <f t="shared" ca="1" si="112"/>
        <v>#N/A</v>
      </c>
      <c r="AD257" s="323" t="e">
        <f t="shared" ca="1" si="113"/>
        <v>#N/A</v>
      </c>
      <c r="AE257" s="324">
        <f t="shared" ca="1" si="92"/>
        <v>193.41106939079299</v>
      </c>
      <c r="AG257" s="306">
        <f t="shared" ca="1" si="114"/>
        <v>48.963806546657011</v>
      </c>
      <c r="AH257" s="304">
        <f t="shared" ca="1" si="115"/>
        <v>58.504859012385694</v>
      </c>
    </row>
    <row r="258" spans="1:34" x14ac:dyDescent="0.25">
      <c r="A258" s="347">
        <f t="shared" ca="1" si="93"/>
        <v>0.01</v>
      </c>
      <c r="B258" s="304">
        <f t="shared" ca="1" si="94"/>
        <v>2.5399999999999898</v>
      </c>
      <c r="D258" s="306">
        <f t="shared" ca="1" si="95"/>
        <v>13.574593954958567</v>
      </c>
      <c r="E258" s="307">
        <f t="shared" ca="1" si="96"/>
        <v>46.924525032419737</v>
      </c>
      <c r="F258" s="304">
        <f t="shared" ca="1" si="97"/>
        <v>48.848548090605355</v>
      </c>
      <c r="G258" s="306">
        <f t="shared" ca="1" si="98"/>
        <v>35.319716638982669</v>
      </c>
      <c r="H258" s="307">
        <f t="shared" ca="1" si="99"/>
        <v>147.51937971550655</v>
      </c>
      <c r="I258" s="304">
        <f t="shared" ca="1" si="100"/>
        <v>151.68866066751934</v>
      </c>
      <c r="J258" s="306">
        <f t="shared" ca="1" si="101"/>
        <v>43.182446837538095</v>
      </c>
      <c r="K258" s="307">
        <f t="shared" ca="1" si="102"/>
        <v>194.88391696169643</v>
      </c>
      <c r="L258" s="304">
        <f t="shared" ca="1" si="87"/>
        <v>199.610783288905</v>
      </c>
      <c r="M258" s="306">
        <f t="shared" ca="1" si="103"/>
        <v>1.3357958114675341</v>
      </c>
      <c r="N258" s="304">
        <f t="shared" ca="1" si="104"/>
        <v>76.535462288342714</v>
      </c>
      <c r="P258" s="310">
        <f t="shared" ca="1" si="105"/>
        <v>9</v>
      </c>
      <c r="Q258" s="304">
        <f t="shared" ca="1" si="106"/>
        <v>823.97500000000207</v>
      </c>
      <c r="R258" s="306">
        <f t="shared" ca="1" si="107"/>
        <v>0.41275565965865307</v>
      </c>
      <c r="S258" s="307">
        <f t="shared" ca="1" si="108"/>
        <v>13.049420369422165</v>
      </c>
      <c r="T258" s="304">
        <f t="shared" ca="1" si="88"/>
        <v>128.01481382403145</v>
      </c>
      <c r="U258" s="311">
        <f t="shared" ca="1" si="89"/>
        <v>0</v>
      </c>
      <c r="V258" s="306">
        <f t="shared" ca="1" si="90"/>
        <v>1.2013571012084341</v>
      </c>
      <c r="W258" s="304">
        <f t="shared" ca="1" si="91"/>
        <v>63.1216722710368</v>
      </c>
      <c r="Y258" s="314" t="str">
        <f t="shared" ca="1" si="109"/>
        <v/>
      </c>
      <c r="Z258" s="315" t="str">
        <f t="shared" ca="1" si="110"/>
        <v/>
      </c>
      <c r="AA258" s="316" t="str">
        <f t="shared" ca="1" si="111"/>
        <v/>
      </c>
      <c r="AC258" s="310" t="e">
        <f t="shared" ca="1" si="112"/>
        <v>#N/A</v>
      </c>
      <c r="AD258" s="323" t="e">
        <f t="shared" ca="1" si="113"/>
        <v>#N/A</v>
      </c>
      <c r="AE258" s="324">
        <f t="shared" ca="1" si="92"/>
        <v>194.88391696169643</v>
      </c>
      <c r="AG258" s="306">
        <f t="shared" ca="1" si="114"/>
        <v>48.795180731161608</v>
      </c>
      <c r="AH258" s="304">
        <f t="shared" ca="1" si="115"/>
        <v>58.335888882370341</v>
      </c>
    </row>
    <row r="259" spans="1:34" x14ac:dyDescent="0.25">
      <c r="A259" s="347">
        <f t="shared" ca="1" si="93"/>
        <v>0.01</v>
      </c>
      <c r="B259" s="304">
        <f t="shared" ca="1" si="94"/>
        <v>2.5499999999999896</v>
      </c>
      <c r="D259" s="306">
        <f t="shared" ca="1" si="95"/>
        <v>13.543756815748477</v>
      </c>
      <c r="E259" s="307">
        <f t="shared" ca="1" si="96"/>
        <v>46.758024735275107</v>
      </c>
      <c r="F259" s="304">
        <f t="shared" ca="1" si="97"/>
        <v>48.680039295677773</v>
      </c>
      <c r="G259" s="306">
        <f t="shared" ca="1" si="98"/>
        <v>35.455154207140154</v>
      </c>
      <c r="H259" s="307">
        <f t="shared" ca="1" si="99"/>
        <v>147.98695996285929</v>
      </c>
      <c r="I259" s="304">
        <f t="shared" ca="1" si="100"/>
        <v>152.17492657761002</v>
      </c>
      <c r="J259" s="306">
        <f t="shared" ca="1" si="101"/>
        <v>43.536321191768707</v>
      </c>
      <c r="K259" s="307">
        <f t="shared" ca="1" si="102"/>
        <v>196.36144866008826</v>
      </c>
      <c r="L259" s="304">
        <f t="shared" ca="1" si="87"/>
        <v>201.12988286876052</v>
      </c>
      <c r="M259" s="306">
        <f t="shared" ca="1" si="103"/>
        <v>1.3356457082498598</v>
      </c>
      <c r="N259" s="304">
        <f t="shared" ca="1" si="104"/>
        <v>76.526862007478655</v>
      </c>
      <c r="P259" s="310">
        <f t="shared" ca="1" si="105"/>
        <v>9</v>
      </c>
      <c r="Q259" s="304">
        <f t="shared" ca="1" si="106"/>
        <v>821.92500000000211</v>
      </c>
      <c r="R259" s="306">
        <f t="shared" ca="1" si="107"/>
        <v>0.41172874852384894</v>
      </c>
      <c r="S259" s="307">
        <f t="shared" ca="1" si="108"/>
        <v>13.045303081936927</v>
      </c>
      <c r="T259" s="304">
        <f t="shared" ca="1" si="88"/>
        <v>127.97442323380126</v>
      </c>
      <c r="U259" s="311">
        <f t="shared" ca="1" si="89"/>
        <v>0</v>
      </c>
      <c r="V259" s="306">
        <f t="shared" ca="1" si="90"/>
        <v>1.20117959302025</v>
      </c>
      <c r="W259" s="304">
        <f t="shared" ca="1" si="91"/>
        <v>63.517630680203247</v>
      </c>
      <c r="Y259" s="314" t="str">
        <f t="shared" ca="1" si="109"/>
        <v/>
      </c>
      <c r="Z259" s="315" t="str">
        <f t="shared" ca="1" si="110"/>
        <v/>
      </c>
      <c r="AA259" s="316" t="str">
        <f t="shared" ca="1" si="111"/>
        <v/>
      </c>
      <c r="AC259" s="310" t="e">
        <f t="shared" ca="1" si="112"/>
        <v>#N/A</v>
      </c>
      <c r="AD259" s="323" t="e">
        <f t="shared" ca="1" si="113"/>
        <v>#N/A</v>
      </c>
      <c r="AE259" s="324">
        <f t="shared" ca="1" si="92"/>
        <v>196.36144866008826</v>
      </c>
      <c r="AG259" s="306">
        <f t="shared" ca="1" si="114"/>
        <v>48.626419576588958</v>
      </c>
      <c r="AH259" s="304">
        <f t="shared" ca="1" si="115"/>
        <v>58.16678408795547</v>
      </c>
    </row>
    <row r="260" spans="1:34" x14ac:dyDescent="0.25">
      <c r="A260" s="347">
        <f t="shared" ca="1" si="93"/>
        <v>0.01</v>
      </c>
      <c r="B260" s="304">
        <f t="shared" ca="1" si="94"/>
        <v>2.5599999999999894</v>
      </c>
      <c r="D260" s="306">
        <f t="shared" ca="1" si="95"/>
        <v>13.512817027691872</v>
      </c>
      <c r="E260" s="307">
        <f t="shared" ca="1" si="96"/>
        <v>46.591410660336827</v>
      </c>
      <c r="F260" s="304">
        <f t="shared" ca="1" si="97"/>
        <v>48.511398365168034</v>
      </c>
      <c r="G260" s="306">
        <f t="shared" ca="1" si="98"/>
        <v>35.590282377417076</v>
      </c>
      <c r="H260" s="307">
        <f t="shared" ca="1" si="99"/>
        <v>148.45287406946267</v>
      </c>
      <c r="I260" s="304">
        <f t="shared" ca="1" si="100"/>
        <v>152.65950353380566</v>
      </c>
      <c r="J260" s="306">
        <f t="shared" ca="1" si="101"/>
        <v>43.891548374691496</v>
      </c>
      <c r="K260" s="307">
        <f t="shared" ca="1" si="102"/>
        <v>197.84364783024986</v>
      </c>
      <c r="L260" s="304">
        <f t="shared" ref="L260:L323" ca="1" si="116">SQRT(pos_x^2+pos_z^2)</f>
        <v>202.65383540783978</v>
      </c>
      <c r="M260" s="306">
        <f t="shared" ca="1" si="103"/>
        <v>1.3354959876904717</v>
      </c>
      <c r="N260" s="304">
        <f t="shared" ca="1" si="104"/>
        <v>76.518283651319379</v>
      </c>
      <c r="P260" s="310">
        <f t="shared" ca="1" si="105"/>
        <v>9</v>
      </c>
      <c r="Q260" s="304">
        <f t="shared" ca="1" si="106"/>
        <v>819.87500000000216</v>
      </c>
      <c r="R260" s="306">
        <f t="shared" ca="1" si="107"/>
        <v>0.41070183738904487</v>
      </c>
      <c r="S260" s="307">
        <f t="shared" ca="1" si="108"/>
        <v>13.041196063563037</v>
      </c>
      <c r="T260" s="304">
        <f t="shared" ref="T260:T323" ca="1" si="117">m*g</f>
        <v>127.9341333835534</v>
      </c>
      <c r="U260" s="311">
        <f t="shared" ref="U260:U323" ca="1" si="118">IF(pos_xz&lt;L_rampe,Poids*COS(Beta),0)</f>
        <v>0</v>
      </c>
      <c r="V260" s="306">
        <f t="shared" ref="V260:V323" ca="1" si="119">Rho_moyen*(20000-Alt_rampe-pos_z)/(20000+Alt_rampe+pos_z)</f>
        <v>1.201001550183493</v>
      </c>
      <c r="W260" s="304">
        <f t="shared" ref="W260:W323" ca="1" si="120">1/2*Rho*Sref*Cx*vit_xz^2</f>
        <v>63.9133235743531</v>
      </c>
      <c r="Y260" s="314" t="str">
        <f t="shared" ca="1" si="109"/>
        <v/>
      </c>
      <c r="Z260" s="315" t="str">
        <f t="shared" ca="1" si="110"/>
        <v/>
      </c>
      <c r="AA260" s="316" t="str">
        <f t="shared" ca="1" si="111"/>
        <v/>
      </c>
      <c r="AC260" s="310" t="e">
        <f t="shared" ca="1" si="112"/>
        <v>#N/A</v>
      </c>
      <c r="AD260" s="323" t="e">
        <f t="shared" ca="1" si="113"/>
        <v>#N/A</v>
      </c>
      <c r="AE260" s="324">
        <f t="shared" ref="AE260:AE323" ca="1" si="121">IF(t&lt;T_para, pos_z, NA())</f>
        <v>197.84364783024986</v>
      </c>
      <c r="AG260" s="306">
        <f t="shared" ca="1" si="114"/>
        <v>48.457524516913736</v>
      </c>
      <c r="AH260" s="304">
        <f t="shared" ca="1" si="115"/>
        <v>57.997546055844779</v>
      </c>
    </row>
    <row r="261" spans="1:34" x14ac:dyDescent="0.25">
      <c r="A261" s="347">
        <f t="shared" ref="A261:A324" ca="1" si="122">IF(B260+0.01&lt;=T_ini+ROUNDUP(Temps_fin_propu,0), 0.01, IF(K260&gt;0, 0.1, 0.0001))</f>
        <v>0.01</v>
      </c>
      <c r="B261" s="304">
        <f t="shared" ref="B261:B324" ca="1" si="123">B260+pas</f>
        <v>2.5699999999999892</v>
      </c>
      <c r="D261" s="306">
        <f t="shared" ref="D261:D324" ca="1" si="124">IF(AND(L260&lt;L_rampe,Poussee&lt;Poids*SIN(M260)),0,(-W260+Poussee)/m*COS(M260)-U260/m*SIN(M260))</f>
        <v>13.481775278138693</v>
      </c>
      <c r="E261" s="307">
        <f t="shared" ref="E261:E324" ca="1" si="125">IF(AND(L260&lt;L_rampe,Poussee&lt;Poids*SIN(M260)),0,(-W260+Poussee)/m*SIN(M260)+U260/m*COS(M260)-Poids/m)</f>
        <v>46.424684130190066</v>
      </c>
      <c r="F261" s="304">
        <f t="shared" ref="F261:F324" ca="1" si="126">SQRT(acc_x^2+acc_z^2)</f>
        <v>48.342626751534226</v>
      </c>
      <c r="G261" s="306">
        <f t="shared" ref="G261:G324" ca="1" si="127">G260+acc_x*pas</f>
        <v>35.725100130198463</v>
      </c>
      <c r="H261" s="307">
        <f t="shared" ref="H261:H324" ca="1" si="128">H260+acc_z*pas</f>
        <v>148.91712091076457</v>
      </c>
      <c r="I261" s="304">
        <f t="shared" ref="I261:I324" ca="1" si="129">SQRT(vit_x^2+vit_z^2)</f>
        <v>153.14239021141069</v>
      </c>
      <c r="J261" s="306">
        <f t="shared" ref="J261:J324" ca="1" si="130">J260+0.5*(vit_x+G260)*pas*(K260&gt;=0)</f>
        <v>44.248125287229577</v>
      </c>
      <c r="K261" s="307">
        <f t="shared" ref="K261:K324" ca="1" si="131">K260+0.5*(vit_z+H260)*pas</f>
        <v>199.330497805151</v>
      </c>
      <c r="L261" s="304">
        <f t="shared" ca="1" si="116"/>
        <v>204.18262400773398</v>
      </c>
      <c r="M261" s="306">
        <f t="shared" ref="M261:M324" ca="1" si="132">IF(AND(L260&gt;L_rampe,G261&gt;0),ATAN2(G261,H261),$M$4)</f>
        <v>1.33534664596118</v>
      </c>
      <c r="N261" s="304">
        <f t="shared" ref="N261:N324" ca="1" si="133">DEGREES(Beta)</f>
        <v>76.509727000525771</v>
      </c>
      <c r="P261" s="310">
        <f t="shared" ref="P261:P324" ca="1" si="134">MATCH(t-pas/2-T_ini,CdP_t)</f>
        <v>9</v>
      </c>
      <c r="Q261" s="304">
        <f t="shared" ref="Q261:Q324" ca="1" si="135">(INDEX(CdP,2,i_P+1)-INDEX(CdP,2,i_P+0))/(INDEX(CdP,1,i_P+1)-INDEX(CdP,1,i_P+0))*(t-pas/2-T_ini-INDEX(CdP,1,i_P+0))+INDEX(CdP,2,i_P+0)</f>
        <v>817.82500000000221</v>
      </c>
      <c r="R261" s="306">
        <f t="shared" ref="R261:R324" ca="1" si="136">Poussee/(g*ISP)</f>
        <v>0.40967492625424073</v>
      </c>
      <c r="S261" s="307">
        <f t="shared" ref="S261:S324" ca="1" si="137">S260-Débit*pas</f>
        <v>13.037099314300495</v>
      </c>
      <c r="T261" s="304">
        <f t="shared" ca="1" si="117"/>
        <v>127.89394427328786</v>
      </c>
      <c r="U261" s="311">
        <f t="shared" ca="1" si="118"/>
        <v>0</v>
      </c>
      <c r="V261" s="306">
        <f t="shared" ca="1" si="119"/>
        <v>1.2008229749408934</v>
      </c>
      <c r="W261" s="304">
        <f t="shared" ca="1" si="120"/>
        <v>64.30873600703238</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f t="shared" ca="1" si="121"/>
        <v>199.330497805151</v>
      </c>
      <c r="AG261" s="306">
        <f t="shared" ref="AG261:AG324" ca="1" si="143">IF(AND(L260&lt;L_rampe,Poussee&lt;Poids*SIN(M260)),0,(-W260+Poussee)/m-Poids*SIN(M260)/m)</f>
        <v>48.288496984133715</v>
      </c>
      <c r="AH261" s="304">
        <f t="shared" ref="AH261:AH324" ca="1" si="144">IF(AND(L260&lt;L_rampe,Poussee&lt;Poids*SIN(M260)), g*SIN(M260), (-W260+Poussee)/m)</f>
        <v>57.828176210844511</v>
      </c>
    </row>
    <row r="262" spans="1:34" x14ac:dyDescent="0.25">
      <c r="A262" s="347">
        <f t="shared" ca="1" si="122"/>
        <v>0.01</v>
      </c>
      <c r="B262" s="304">
        <f t="shared" ca="1" si="123"/>
        <v>2.579999999999989</v>
      </c>
      <c r="D262" s="306">
        <f t="shared" ca="1" si="124"/>
        <v>13.450632249943162</v>
      </c>
      <c r="E262" s="307">
        <f t="shared" ca="1" si="125"/>
        <v>46.257846466239904</v>
      </c>
      <c r="F262" s="304">
        <f t="shared" ca="1" si="126"/>
        <v>48.173725905491622</v>
      </c>
      <c r="G262" s="306">
        <f t="shared" ca="1" si="127"/>
        <v>35.859606452697896</v>
      </c>
      <c r="H262" s="307">
        <f t="shared" ca="1" si="128"/>
        <v>149.37969937542695</v>
      </c>
      <c r="I262" s="304">
        <f t="shared" ca="1" si="129"/>
        <v>153.62358530002905</v>
      </c>
      <c r="J262" s="306">
        <f t="shared" ca="1" si="130"/>
        <v>44.606048820144061</v>
      </c>
      <c r="K262" s="307">
        <f t="shared" ca="1" si="131"/>
        <v>200.82198190658195</v>
      </c>
      <c r="L262" s="304">
        <f t="shared" ca="1" si="116"/>
        <v>205.71623175683683</v>
      </c>
      <c r="M262" s="306">
        <f t="shared" ca="1" si="132"/>
        <v>1.3351976792787283</v>
      </c>
      <c r="N262" s="304">
        <f t="shared" ca="1" si="133"/>
        <v>76.501191838333227</v>
      </c>
      <c r="P262" s="310">
        <f t="shared" ca="1" si="134"/>
        <v>9</v>
      </c>
      <c r="Q262" s="304">
        <f t="shared" ca="1" si="135"/>
        <v>815.77500000000225</v>
      </c>
      <c r="R262" s="306">
        <f t="shared" ca="1" si="136"/>
        <v>0.4086480151194366</v>
      </c>
      <c r="S262" s="307">
        <f t="shared" ca="1" si="137"/>
        <v>13.0330128341493</v>
      </c>
      <c r="T262" s="304">
        <f t="shared" ca="1" si="117"/>
        <v>127.85385590300464</v>
      </c>
      <c r="U262" s="311">
        <f t="shared" ca="1" si="118"/>
        <v>0</v>
      </c>
      <c r="V262" s="306">
        <f t="shared" ca="1" si="119"/>
        <v>1.2006438695360115</v>
      </c>
      <c r="W262" s="304">
        <f t="shared" ca="1" si="120"/>
        <v>64.703853088855411</v>
      </c>
      <c r="Y262" s="314" t="str">
        <f t="shared" ca="1" si="138"/>
        <v/>
      </c>
      <c r="Z262" s="315" t="str">
        <f t="shared" ca="1" si="139"/>
        <v/>
      </c>
      <c r="AA262" s="316" t="str">
        <f t="shared" ca="1" si="140"/>
        <v/>
      </c>
      <c r="AC262" s="310" t="e">
        <f t="shared" ca="1" si="141"/>
        <v>#N/A</v>
      </c>
      <c r="AD262" s="323" t="e">
        <f t="shared" ca="1" si="142"/>
        <v>#N/A</v>
      </c>
      <c r="AE262" s="324">
        <f t="shared" ca="1" si="121"/>
        <v>200.82198190658195</v>
      </c>
      <c r="AG262" s="306">
        <f t="shared" ca="1" si="143"/>
        <v>48.119338408231613</v>
      </c>
      <c r="AH262" s="304">
        <f t="shared" ca="1" si="144"/>
        <v>57.658675975823982</v>
      </c>
    </row>
    <row r="263" spans="1:34" x14ac:dyDescent="0.25">
      <c r="A263" s="347">
        <f t="shared" ca="1" si="122"/>
        <v>0.01</v>
      </c>
      <c r="B263" s="304">
        <f t="shared" ca="1" si="123"/>
        <v>2.5899999999999888</v>
      </c>
      <c r="D263" s="306">
        <f t="shared" ca="1" si="124"/>
        <v>13.419388621524829</v>
      </c>
      <c r="E263" s="307">
        <f t="shared" ca="1" si="125"/>
        <v>46.090898988661046</v>
      </c>
      <c r="F263" s="304">
        <f t="shared" ca="1" si="126"/>
        <v>48.004697275979836</v>
      </c>
      <c r="G263" s="306">
        <f t="shared" ca="1" si="127"/>
        <v>35.993800338913147</v>
      </c>
      <c r="H263" s="307">
        <f t="shared" ca="1" si="128"/>
        <v>149.84060836531356</v>
      </c>
      <c r="I263" s="304">
        <f t="shared" ca="1" si="129"/>
        <v>154.10308750354361</v>
      </c>
      <c r="J263" s="306">
        <f t="shared" ca="1" si="130"/>
        <v>44.965315854102116</v>
      </c>
      <c r="K263" s="307">
        <f t="shared" ca="1" si="131"/>
        <v>202.31808344528565</v>
      </c>
      <c r="L263" s="304">
        <f t="shared" ca="1" si="116"/>
        <v>207.25464173048752</v>
      </c>
      <c r="M263" s="306">
        <f t="shared" ca="1" si="132"/>
        <v>1.3350490839040361</v>
      </c>
      <c r="N263" s="304">
        <f t="shared" ca="1" si="133"/>
        <v>76.492677950508195</v>
      </c>
      <c r="P263" s="310">
        <f t="shared" ca="1" si="134"/>
        <v>9</v>
      </c>
      <c r="Q263" s="304">
        <f t="shared" ca="1" si="135"/>
        <v>813.7250000000023</v>
      </c>
      <c r="R263" s="306">
        <f t="shared" ca="1" si="136"/>
        <v>0.40762110398463253</v>
      </c>
      <c r="S263" s="307">
        <f t="shared" ca="1" si="137"/>
        <v>13.028936623109454</v>
      </c>
      <c r="T263" s="304">
        <f t="shared" ca="1" si="117"/>
        <v>127.81386827270374</v>
      </c>
      <c r="U263" s="311">
        <f t="shared" ca="1" si="118"/>
        <v>0</v>
      </c>
      <c r="V263" s="306">
        <f t="shared" ca="1" si="119"/>
        <v>1.200464236213213</v>
      </c>
      <c r="W263" s="304">
        <f t="shared" ca="1" si="120"/>
        <v>65.098659987826551</v>
      </c>
      <c r="Y263" s="314" t="str">
        <f t="shared" ca="1" si="138"/>
        <v/>
      </c>
      <c r="Z263" s="315" t="str">
        <f t="shared" ca="1" si="139"/>
        <v/>
      </c>
      <c r="AA263" s="316" t="str">
        <f t="shared" ca="1" si="140"/>
        <v/>
      </c>
      <c r="AC263" s="310" t="e">
        <f t="shared" ca="1" si="141"/>
        <v>#N/A</v>
      </c>
      <c r="AD263" s="323" t="e">
        <f t="shared" ca="1" si="142"/>
        <v>#N/A</v>
      </c>
      <c r="AE263" s="324">
        <f t="shared" ca="1" si="121"/>
        <v>202.31808344528565</v>
      </c>
      <c r="AG263" s="306">
        <f t="shared" ca="1" si="143"/>
        <v>47.950050217137175</v>
      </c>
      <c r="AH263" s="304">
        <f t="shared" ca="1" si="144"/>
        <v>57.489046771676392</v>
      </c>
    </row>
    <row r="264" spans="1:34" x14ac:dyDescent="0.25">
      <c r="A264" s="347">
        <f t="shared" ca="1" si="122"/>
        <v>0.01</v>
      </c>
      <c r="B264" s="304">
        <f t="shared" ca="1" si="123"/>
        <v>2.5999999999999885</v>
      </c>
      <c r="D264" s="306">
        <f t="shared" ca="1" si="124"/>
        <v>13.388045066928234</v>
      </c>
      <c r="E264" s="307">
        <f t="shared" ca="1" si="125"/>
        <v>45.923843016348059</v>
      </c>
      <c r="F264" s="304">
        <f t="shared" ca="1" si="126"/>
        <v>47.835542310130464</v>
      </c>
      <c r="G264" s="306">
        <f t="shared" ca="1" si="127"/>
        <v>36.127680789582428</v>
      </c>
      <c r="H264" s="307">
        <f t="shared" ca="1" si="128"/>
        <v>150.29984679547704</v>
      </c>
      <c r="I264" s="304">
        <f t="shared" ca="1" si="129"/>
        <v>154.58089554009524</v>
      </c>
      <c r="J264" s="306">
        <f t="shared" ca="1" si="130"/>
        <v>45.325923259744592</v>
      </c>
      <c r="K264" s="307">
        <f t="shared" ca="1" si="131"/>
        <v>203.8187857210896</v>
      </c>
      <c r="L264" s="304">
        <f t="shared" ca="1" si="116"/>
        <v>208.79783699111371</v>
      </c>
      <c r="M264" s="306">
        <f t="shared" ca="1" si="132"/>
        <v>1.3349008561414577</v>
      </c>
      <c r="N264" s="304">
        <f t="shared" ca="1" si="133"/>
        <v>76.484185125305785</v>
      </c>
      <c r="P264" s="310">
        <f t="shared" ca="1" si="134"/>
        <v>9</v>
      </c>
      <c r="Q264" s="304">
        <f t="shared" ca="1" si="135"/>
        <v>811.67500000000234</v>
      </c>
      <c r="R264" s="306">
        <f t="shared" ca="1" si="136"/>
        <v>0.4065941928498284</v>
      </c>
      <c r="S264" s="307">
        <f t="shared" ca="1" si="137"/>
        <v>13.024870681180955</v>
      </c>
      <c r="T264" s="304">
        <f t="shared" ca="1" si="117"/>
        <v>127.77398138238517</v>
      </c>
      <c r="U264" s="311">
        <f t="shared" ca="1" si="118"/>
        <v>0</v>
      </c>
      <c r="V264" s="306">
        <f t="shared" ca="1" si="119"/>
        <v>1.2002840772176402</v>
      </c>
      <c r="W264" s="304">
        <f t="shared" ca="1" si="120"/>
        <v>65.49314192965798</v>
      </c>
      <c r="Y264" s="314" t="str">
        <f t="shared" ca="1" si="138"/>
        <v/>
      </c>
      <c r="Z264" s="315" t="str">
        <f t="shared" ca="1" si="139"/>
        <v/>
      </c>
      <c r="AA264" s="316" t="str">
        <f t="shared" ca="1" si="140"/>
        <v/>
      </c>
      <c r="AC264" s="310" t="e">
        <f t="shared" ca="1" si="141"/>
        <v>#N/A</v>
      </c>
      <c r="AD264" s="323" t="e">
        <f t="shared" ca="1" si="142"/>
        <v>#N/A</v>
      </c>
      <c r="AE264" s="324">
        <f t="shared" ca="1" si="121"/>
        <v>203.8187857210896</v>
      </c>
      <c r="AG264" s="306">
        <f t="shared" ca="1" si="143"/>
        <v>47.780633836689489</v>
      </c>
      <c r="AH264" s="304">
        <f t="shared" ca="1" si="144"/>
        <v>57.319290017279798</v>
      </c>
    </row>
    <row r="265" spans="1:34" x14ac:dyDescent="0.25">
      <c r="A265" s="347">
        <f t="shared" ca="1" si="122"/>
        <v>0.01</v>
      </c>
      <c r="B265" s="304">
        <f t="shared" ca="1" si="123"/>
        <v>2.6099999999999883</v>
      </c>
      <c r="D265" s="306">
        <f t="shared" ca="1" si="124"/>
        <v>13.356602255881102</v>
      </c>
      <c r="E265" s="307">
        <f t="shared" ca="1" si="125"/>
        <v>45.756679866866023</v>
      </c>
      <c r="F265" s="304">
        <f t="shared" ca="1" si="126"/>
        <v>47.666262453234893</v>
      </c>
      <c r="G265" s="306">
        <f t="shared" ca="1" si="127"/>
        <v>36.261246812141238</v>
      </c>
      <c r="H265" s="307">
        <f t="shared" ca="1" si="128"/>
        <v>150.7574135941457</v>
      </c>
      <c r="I265" s="304">
        <f t="shared" ca="1" si="129"/>
        <v>155.05700814206151</v>
      </c>
      <c r="J265" s="306">
        <f t="shared" ca="1" si="130"/>
        <v>45.687867897753208</v>
      </c>
      <c r="K265" s="307">
        <f t="shared" ca="1" si="131"/>
        <v>205.3240720230377</v>
      </c>
      <c r="L265" s="304">
        <f t="shared" ca="1" si="116"/>
        <v>210.34580058837429</v>
      </c>
      <c r="M265" s="306">
        <f t="shared" ca="1" si="132"/>
        <v>1.3347529923380572</v>
      </c>
      <c r="N265" s="304">
        <f t="shared" ca="1" si="133"/>
        <v>76.475713153428188</v>
      </c>
      <c r="P265" s="310">
        <f t="shared" ca="1" si="134"/>
        <v>9</v>
      </c>
      <c r="Q265" s="304">
        <f t="shared" ca="1" si="135"/>
        <v>809.62500000000239</v>
      </c>
      <c r="R265" s="306">
        <f t="shared" ca="1" si="136"/>
        <v>0.40556728171502426</v>
      </c>
      <c r="S265" s="307">
        <f t="shared" ca="1" si="137"/>
        <v>13.020815008363805</v>
      </c>
      <c r="T265" s="304">
        <f t="shared" ca="1" si="117"/>
        <v>127.73419523204893</v>
      </c>
      <c r="U265" s="311">
        <f t="shared" ca="1" si="118"/>
        <v>0</v>
      </c>
      <c r="V265" s="306">
        <f t="shared" ca="1" si="119"/>
        <v>1.2001033947951878</v>
      </c>
      <c r="W265" s="304">
        <f t="shared" ca="1" si="120"/>
        <v>65.887284198083961</v>
      </c>
      <c r="Y265" s="314" t="str">
        <f t="shared" ca="1" si="138"/>
        <v/>
      </c>
      <c r="Z265" s="315" t="str">
        <f t="shared" ca="1" si="139"/>
        <v/>
      </c>
      <c r="AA265" s="316" t="str">
        <f t="shared" ca="1" si="140"/>
        <v/>
      </c>
      <c r="AC265" s="310" t="e">
        <f t="shared" ca="1" si="141"/>
        <v>#N/A</v>
      </c>
      <c r="AD265" s="323" t="e">
        <f t="shared" ca="1" si="142"/>
        <v>#N/A</v>
      </c>
      <c r="AE265" s="324">
        <f t="shared" ca="1" si="121"/>
        <v>205.3240720230377</v>
      </c>
      <c r="AG265" s="306">
        <f t="shared" ca="1" si="143"/>
        <v>47.611090690599369</v>
      </c>
      <c r="AH265" s="304">
        <f t="shared" ca="1" si="144"/>
        <v>57.149407129458325</v>
      </c>
    </row>
    <row r="266" spans="1:34" x14ac:dyDescent="0.25">
      <c r="A266" s="347">
        <f t="shared" ca="1" si="122"/>
        <v>0.01</v>
      </c>
      <c r="B266" s="304">
        <f t="shared" ca="1" si="123"/>
        <v>2.6199999999999881</v>
      </c>
      <c r="D266" s="306">
        <f t="shared" ca="1" si="124"/>
        <v>13.325060853851168</v>
      </c>
      <c r="E266" s="307">
        <f t="shared" ca="1" si="125"/>
        <v>45.589410856401727</v>
      </c>
      <c r="F266" s="304">
        <f t="shared" ca="1" si="126"/>
        <v>47.496859148712524</v>
      </c>
      <c r="G266" s="306">
        <f t="shared" ca="1" si="127"/>
        <v>36.394497420679748</v>
      </c>
      <c r="H266" s="307">
        <f t="shared" ca="1" si="128"/>
        <v>151.21330770270973</v>
      </c>
      <c r="I266" s="304">
        <f t="shared" ca="1" si="129"/>
        <v>155.53142405603518</v>
      </c>
      <c r="J266" s="306">
        <f t="shared" ca="1" si="130"/>
        <v>46.051146618917315</v>
      </c>
      <c r="K266" s="307">
        <f t="shared" ca="1" si="131"/>
        <v>206.83392562952199</v>
      </c>
      <c r="L266" s="304">
        <f t="shared" ca="1" si="116"/>
        <v>211.89851555930176</v>
      </c>
      <c r="M266" s="306">
        <f t="shared" ca="1" si="132"/>
        <v>1.3346054888828975</v>
      </c>
      <c r="N266" s="304">
        <f t="shared" ca="1" si="133"/>
        <v>76.467261827983933</v>
      </c>
      <c r="P266" s="310">
        <f t="shared" ca="1" si="134"/>
        <v>9</v>
      </c>
      <c r="Q266" s="304">
        <f t="shared" ca="1" si="135"/>
        <v>807.57500000000243</v>
      </c>
      <c r="R266" s="306">
        <f t="shared" ca="1" si="136"/>
        <v>0.40454037058022019</v>
      </c>
      <c r="S266" s="307">
        <f t="shared" ca="1" si="137"/>
        <v>13.016769604658002</v>
      </c>
      <c r="T266" s="304">
        <f t="shared" ca="1" si="117"/>
        <v>127.69450982169501</v>
      </c>
      <c r="U266" s="311">
        <f t="shared" ca="1" si="118"/>
        <v>0</v>
      </c>
      <c r="V266" s="306">
        <f t="shared" ca="1" si="119"/>
        <v>1.199922191192476</v>
      </c>
      <c r="W266" s="304">
        <f t="shared" ca="1" si="120"/>
        <v>66.281072135171627</v>
      </c>
      <c r="Y266" s="314" t="str">
        <f t="shared" ca="1" si="138"/>
        <v/>
      </c>
      <c r="Z266" s="315" t="str">
        <f t="shared" ca="1" si="139"/>
        <v/>
      </c>
      <c r="AA266" s="316" t="str">
        <f t="shared" ca="1" si="140"/>
        <v/>
      </c>
      <c r="AC266" s="310" t="e">
        <f t="shared" ca="1" si="141"/>
        <v>#N/A</v>
      </c>
      <c r="AD266" s="323" t="e">
        <f t="shared" ca="1" si="142"/>
        <v>#N/A</v>
      </c>
      <c r="AE266" s="324">
        <f t="shared" ca="1" si="121"/>
        <v>206.83392562952199</v>
      </c>
      <c r="AG266" s="306">
        <f t="shared" ca="1" si="143"/>
        <v>47.441422200412184</v>
      </c>
      <c r="AH266" s="304">
        <f t="shared" ca="1" si="144"/>
        <v>56.979399522943716</v>
      </c>
    </row>
    <row r="267" spans="1:34" x14ac:dyDescent="0.25">
      <c r="A267" s="347">
        <f t="shared" ca="1" si="122"/>
        <v>0.01</v>
      </c>
      <c r="B267" s="304">
        <f t="shared" ca="1" si="123"/>
        <v>2.6299999999999879</v>
      </c>
      <c r="D267" s="306">
        <f t="shared" ca="1" si="124"/>
        <v>13.293421522101616</v>
      </c>
      <c r="E267" s="307">
        <f t="shared" ca="1" si="125"/>
        <v>45.422037299715299</v>
      </c>
      <c r="F267" s="304">
        <f t="shared" ca="1" si="126"/>
        <v>47.327333838079262</v>
      </c>
      <c r="G267" s="306">
        <f t="shared" ca="1" si="127"/>
        <v>36.527431635900761</v>
      </c>
      <c r="H267" s="307">
        <f t="shared" ca="1" si="128"/>
        <v>151.66752807570688</v>
      </c>
      <c r="I267" s="304">
        <f t="shared" ca="1" si="129"/>
        <v>156.00414204280199</v>
      </c>
      <c r="J267" s="306">
        <f t="shared" ca="1" si="130"/>
        <v>46.415756264200219</v>
      </c>
      <c r="K267" s="307">
        <f t="shared" ca="1" si="131"/>
        <v>208.34832980841406</v>
      </c>
      <c r="L267" s="304">
        <f t="shared" ca="1" si="116"/>
        <v>213.45596492844447</v>
      </c>
      <c r="M267" s="306">
        <f t="shared" ca="1" si="132"/>
        <v>1.334458342206343</v>
      </c>
      <c r="N267" s="304">
        <f t="shared" ca="1" si="133"/>
        <v>76.458830944447982</v>
      </c>
      <c r="P267" s="310">
        <f t="shared" ca="1" si="134"/>
        <v>9</v>
      </c>
      <c r="Q267" s="304">
        <f t="shared" ca="1" si="135"/>
        <v>805.52500000000248</v>
      </c>
      <c r="R267" s="306">
        <f t="shared" ca="1" si="136"/>
        <v>0.40351345944541606</v>
      </c>
      <c r="S267" s="307">
        <f t="shared" ca="1" si="137"/>
        <v>13.012734470063547</v>
      </c>
      <c r="T267" s="304">
        <f t="shared" ca="1" si="117"/>
        <v>127.65492515132341</v>
      </c>
      <c r="U267" s="311">
        <f t="shared" ca="1" si="118"/>
        <v>0</v>
      </c>
      <c r="V267" s="306">
        <f t="shared" ca="1" si="119"/>
        <v>1.199740468656824</v>
      </c>
      <c r="W267" s="304">
        <f t="shared" ca="1" si="120"/>
        <v>66.674491141627456</v>
      </c>
      <c r="Y267" s="314" t="str">
        <f t="shared" ca="1" si="138"/>
        <v/>
      </c>
      <c r="Z267" s="315" t="str">
        <f t="shared" ca="1" si="139"/>
        <v/>
      </c>
      <c r="AA267" s="316" t="str">
        <f t="shared" ca="1" si="140"/>
        <v/>
      </c>
      <c r="AC267" s="310" t="e">
        <f t="shared" ca="1" si="141"/>
        <v>#N/A</v>
      </c>
      <c r="AD267" s="323" t="e">
        <f t="shared" ca="1" si="142"/>
        <v>#N/A</v>
      </c>
      <c r="AE267" s="324">
        <f t="shared" ca="1" si="121"/>
        <v>208.34832980841406</v>
      </c>
      <c r="AG267" s="306">
        <f t="shared" ca="1" si="143"/>
        <v>47.27162978547068</v>
      </c>
      <c r="AH267" s="304">
        <f t="shared" ca="1" si="144"/>
        <v>56.809268610336964</v>
      </c>
    </row>
    <row r="268" spans="1:34" x14ac:dyDescent="0.25">
      <c r="A268" s="347">
        <f t="shared" ca="1" si="122"/>
        <v>0.01</v>
      </c>
      <c r="B268" s="304">
        <f t="shared" ca="1" si="123"/>
        <v>2.6399999999999877</v>
      </c>
      <c r="D268" s="306">
        <f t="shared" ca="1" si="124"/>
        <v>13.261684917745322</v>
      </c>
      <c r="E268" s="307">
        <f t="shared" ca="1" si="125"/>
        <v>45.254560510092276</v>
      </c>
      <c r="F268" s="304">
        <f t="shared" ca="1" si="126"/>
        <v>47.15768796091637</v>
      </c>
      <c r="G268" s="306">
        <f t="shared" ca="1" si="127"/>
        <v>36.660048485078214</v>
      </c>
      <c r="H268" s="307">
        <f t="shared" ca="1" si="128"/>
        <v>152.12007368080779</v>
      </c>
      <c r="I268" s="304">
        <f t="shared" ca="1" si="129"/>
        <v>156.47516087731842</v>
      </c>
      <c r="J268" s="306">
        <f t="shared" ca="1" si="130"/>
        <v>46.781693664805111</v>
      </c>
      <c r="K268" s="307">
        <f t="shared" ca="1" si="131"/>
        <v>209.86726781719665</v>
      </c>
      <c r="L268" s="304">
        <f t="shared" ca="1" si="116"/>
        <v>215.01813170800878</v>
      </c>
      <c r="M268" s="306">
        <f t="shared" ca="1" si="132"/>
        <v>1.3343115487793786</v>
      </c>
      <c r="N268" s="304">
        <f t="shared" ca="1" si="133"/>
        <v>76.450420300622667</v>
      </c>
      <c r="P268" s="310">
        <f t="shared" ca="1" si="134"/>
        <v>9</v>
      </c>
      <c r="Q268" s="304">
        <f t="shared" ca="1" si="135"/>
        <v>803.47500000000252</v>
      </c>
      <c r="R268" s="306">
        <f t="shared" ca="1" si="136"/>
        <v>0.40248654831061198</v>
      </c>
      <c r="S268" s="307">
        <f t="shared" ca="1" si="137"/>
        <v>13.00870960458044</v>
      </c>
      <c r="T268" s="304">
        <f t="shared" ca="1" si="117"/>
        <v>127.61544122093413</v>
      </c>
      <c r="U268" s="311">
        <f t="shared" ca="1" si="118"/>
        <v>0</v>
      </c>
      <c r="V268" s="306">
        <f t="shared" ca="1" si="119"/>
        <v>1.1995582294362261</v>
      </c>
      <c r="W268" s="304">
        <f t="shared" ca="1" si="120"/>
        <v>67.067526677100844</v>
      </c>
      <c r="Y268" s="314" t="str">
        <f t="shared" ca="1" si="138"/>
        <v/>
      </c>
      <c r="Z268" s="315" t="str">
        <f t="shared" ca="1" si="139"/>
        <v/>
      </c>
      <c r="AA268" s="316" t="str">
        <f t="shared" ca="1" si="140"/>
        <v/>
      </c>
      <c r="AC268" s="310" t="e">
        <f t="shared" ca="1" si="141"/>
        <v>#N/A</v>
      </c>
      <c r="AD268" s="323" t="e">
        <f t="shared" ca="1" si="142"/>
        <v>#N/A</v>
      </c>
      <c r="AE268" s="324">
        <f t="shared" ca="1" si="121"/>
        <v>209.86726781719665</v>
      </c>
      <c r="AG268" s="306">
        <f t="shared" ca="1" si="143"/>
        <v>47.101714862878119</v>
      </c>
      <c r="AH268" s="304">
        <f t="shared" ca="1" si="144"/>
        <v>56.63901580207029</v>
      </c>
    </row>
    <row r="269" spans="1:34" x14ac:dyDescent="0.25">
      <c r="A269" s="347">
        <f t="shared" ca="1" si="122"/>
        <v>0.01</v>
      </c>
      <c r="B269" s="304">
        <f t="shared" ca="1" si="123"/>
        <v>2.6499999999999875</v>
      </c>
      <c r="D269" s="306">
        <f t="shared" ca="1" si="124"/>
        <v>13.229851693797636</v>
      </c>
      <c r="E269" s="307">
        <f t="shared" ca="1" si="125"/>
        <v>45.086981799296211</v>
      </c>
      <c r="F269" s="304">
        <f t="shared" ca="1" si="126"/>
        <v>46.987922954839661</v>
      </c>
      <c r="G269" s="306">
        <f t="shared" ca="1" si="127"/>
        <v>36.792347002016193</v>
      </c>
      <c r="H269" s="307">
        <f t="shared" ca="1" si="128"/>
        <v>152.57094349880074</v>
      </c>
      <c r="I269" s="304">
        <f t="shared" ca="1" si="129"/>
        <v>156.94447934868884</v>
      </c>
      <c r="J269" s="306">
        <f t="shared" ca="1" si="130"/>
        <v>47.14895564224058</v>
      </c>
      <c r="K269" s="307">
        <f t="shared" ca="1" si="131"/>
        <v>211.39072290309468</v>
      </c>
      <c r="L269" s="304">
        <f t="shared" ca="1" si="116"/>
        <v>216.58499889800061</v>
      </c>
      <c r="M269" s="306">
        <f t="shared" ca="1" si="132"/>
        <v>1.3341651051129411</v>
      </c>
      <c r="N269" s="304">
        <f t="shared" ca="1" si="133"/>
        <v>76.442029696599377</v>
      </c>
      <c r="P269" s="310">
        <f t="shared" ca="1" si="134"/>
        <v>9</v>
      </c>
      <c r="Q269" s="304">
        <f t="shared" ca="1" si="135"/>
        <v>801.42500000000257</v>
      </c>
      <c r="R269" s="306">
        <f t="shared" ca="1" si="136"/>
        <v>0.40145963717580785</v>
      </c>
      <c r="S269" s="307">
        <f t="shared" ca="1" si="137"/>
        <v>13.004695008208682</v>
      </c>
      <c r="T269" s="304">
        <f t="shared" ca="1" si="117"/>
        <v>127.57605803052718</v>
      </c>
      <c r="U269" s="311">
        <f t="shared" ca="1" si="118"/>
        <v>0</v>
      </c>
      <c r="V269" s="306">
        <f t="shared" ca="1" si="119"/>
        <v>1.1993754757793238</v>
      </c>
      <c r="W269" s="304">
        <f t="shared" ca="1" si="120"/>
        <v>67.460164260483225</v>
      </c>
      <c r="Y269" s="314" t="str">
        <f t="shared" ca="1" si="138"/>
        <v/>
      </c>
      <c r="Z269" s="315" t="str">
        <f t="shared" ca="1" si="139"/>
        <v/>
      </c>
      <c r="AA269" s="316" t="str">
        <f t="shared" ca="1" si="140"/>
        <v/>
      </c>
      <c r="AC269" s="310" t="e">
        <f t="shared" ca="1" si="141"/>
        <v>#N/A</v>
      </c>
      <c r="AD269" s="323" t="e">
        <f t="shared" ca="1" si="142"/>
        <v>#N/A</v>
      </c>
      <c r="AE269" s="324">
        <f t="shared" ca="1" si="121"/>
        <v>211.39072290309468</v>
      </c>
      <c r="AG269" s="306">
        <f t="shared" ca="1" si="143"/>
        <v>46.931678847461598</v>
      </c>
      <c r="AH269" s="304">
        <f t="shared" ca="1" si="144"/>
        <v>56.468642506369321</v>
      </c>
    </row>
    <row r="270" spans="1:34" x14ac:dyDescent="0.25">
      <c r="A270" s="347">
        <f t="shared" ca="1" si="122"/>
        <v>0.01</v>
      </c>
      <c r="B270" s="304">
        <f t="shared" ca="1" si="123"/>
        <v>2.6599999999999873</v>
      </c>
      <c r="D270" s="306">
        <f t="shared" ca="1" si="124"/>
        <v>13.197922499228101</v>
      </c>
      <c r="E270" s="307">
        <f t="shared" ca="1" si="125"/>
        <v>44.91930247752169</v>
      </c>
      <c r="F270" s="304">
        <f t="shared" ca="1" si="126"/>
        <v>46.818040255469022</v>
      </c>
      <c r="G270" s="306">
        <f t="shared" ca="1" si="127"/>
        <v>36.924326227008471</v>
      </c>
      <c r="H270" s="307">
        <f t="shared" ca="1" si="128"/>
        <v>153.02013652357596</v>
      </c>
      <c r="I270" s="304">
        <f t="shared" ca="1" si="129"/>
        <v>157.4120962601425</v>
      </c>
      <c r="J270" s="306">
        <f t="shared" ca="1" si="130"/>
        <v>47.517539008385704</v>
      </c>
      <c r="K270" s="307">
        <f t="shared" ca="1" si="131"/>
        <v>212.91867830320658</v>
      </c>
      <c r="L270" s="304">
        <f t="shared" ca="1" si="116"/>
        <v>218.15654948636731</v>
      </c>
      <c r="M270" s="306">
        <f t="shared" ca="1" si="132"/>
        <v>1.3340190077572627</v>
      </c>
      <c r="N270" s="304">
        <f t="shared" ca="1" si="133"/>
        <v>76.433658934720981</v>
      </c>
      <c r="P270" s="310">
        <f t="shared" ca="1" si="134"/>
        <v>9</v>
      </c>
      <c r="Q270" s="304">
        <f t="shared" ca="1" si="135"/>
        <v>799.37500000000261</v>
      </c>
      <c r="R270" s="306">
        <f t="shared" ca="1" si="136"/>
        <v>0.40043272604100372</v>
      </c>
      <c r="S270" s="307">
        <f t="shared" ca="1" si="137"/>
        <v>13.000690680948271</v>
      </c>
      <c r="T270" s="304">
        <f t="shared" ca="1" si="117"/>
        <v>127.53677558010254</v>
      </c>
      <c r="U270" s="311">
        <f t="shared" ca="1" si="118"/>
        <v>0</v>
      </c>
      <c r="V270" s="306">
        <f t="shared" ca="1" si="119"/>
        <v>1.1991922099353816</v>
      </c>
      <c r="W270" s="304">
        <f t="shared" ca="1" si="120"/>
        <v>67.852389470204173</v>
      </c>
      <c r="Y270" s="314" t="str">
        <f t="shared" ca="1" si="138"/>
        <v/>
      </c>
      <c r="Z270" s="315" t="str">
        <f t="shared" ca="1" si="139"/>
        <v/>
      </c>
      <c r="AA270" s="316" t="str">
        <f t="shared" ca="1" si="140"/>
        <v/>
      </c>
      <c r="AC270" s="310" t="e">
        <f t="shared" ca="1" si="141"/>
        <v>#N/A</v>
      </c>
      <c r="AD270" s="323" t="e">
        <f t="shared" ca="1" si="142"/>
        <v>#N/A</v>
      </c>
      <c r="AE270" s="324">
        <f t="shared" ca="1" si="121"/>
        <v>212.91867830320658</v>
      </c>
      <c r="AG270" s="306">
        <f t="shared" ca="1" si="143"/>
        <v>46.761523151735702</v>
      </c>
      <c r="AH270" s="304">
        <f t="shared" ca="1" si="144"/>
        <v>56.298150129215557</v>
      </c>
    </row>
    <row r="271" spans="1:34" x14ac:dyDescent="0.25">
      <c r="A271" s="347">
        <f t="shared" ca="1" si="122"/>
        <v>0.01</v>
      </c>
      <c r="B271" s="304">
        <f t="shared" ca="1" si="123"/>
        <v>2.6699999999999871</v>
      </c>
      <c r="D271" s="306">
        <f t="shared" ca="1" si="124"/>
        <v>13.165897979010866</v>
      </c>
      <c r="E271" s="307">
        <f t="shared" ca="1" si="125"/>
        <v>44.751523853347749</v>
      </c>
      <c r="F271" s="304">
        <f t="shared" ca="1" si="126"/>
        <v>46.648041296398233</v>
      </c>
      <c r="G271" s="306">
        <f t="shared" ca="1" si="127"/>
        <v>37.055985206798582</v>
      </c>
      <c r="H271" s="307">
        <f t="shared" ca="1" si="128"/>
        <v>153.46765176210943</v>
      </c>
      <c r="I271" s="304">
        <f t="shared" ca="1" si="129"/>
        <v>157.87801042900992</v>
      </c>
      <c r="J271" s="306">
        <f t="shared" ca="1" si="130"/>
        <v>47.887440565554741</v>
      </c>
      <c r="K271" s="307">
        <f t="shared" ca="1" si="131"/>
        <v>214.45111724463501</v>
      </c>
      <c r="L271" s="304">
        <f t="shared" ca="1" si="116"/>
        <v>219.73276644913869</v>
      </c>
      <c r="M271" s="306">
        <f t="shared" ca="1" si="132"/>
        <v>1.333873253301231</v>
      </c>
      <c r="N271" s="304">
        <f t="shared" ca="1" si="133"/>
        <v>76.425307819545139</v>
      </c>
      <c r="P271" s="310">
        <f t="shared" ca="1" si="134"/>
        <v>9</v>
      </c>
      <c r="Q271" s="304">
        <f t="shared" ca="1" si="135"/>
        <v>797.32500000000266</v>
      </c>
      <c r="R271" s="306">
        <f t="shared" ca="1" si="136"/>
        <v>0.39940581490619964</v>
      </c>
      <c r="S271" s="307">
        <f t="shared" ca="1" si="137"/>
        <v>12.99669662279921</v>
      </c>
      <c r="T271" s="304">
        <f t="shared" ca="1" si="117"/>
        <v>127.49759386966025</v>
      </c>
      <c r="U271" s="311">
        <f t="shared" ca="1" si="118"/>
        <v>0</v>
      </c>
      <c r="V271" s="306">
        <f t="shared" ca="1" si="119"/>
        <v>1.1990084341542599</v>
      </c>
      <c r="W271" s="304">
        <f t="shared" ca="1" si="120"/>
        <v>68.244187944523105</v>
      </c>
      <c r="Y271" s="314" t="str">
        <f t="shared" ca="1" si="138"/>
        <v/>
      </c>
      <c r="Z271" s="315" t="str">
        <f t="shared" ca="1" si="139"/>
        <v/>
      </c>
      <c r="AA271" s="316" t="str">
        <f t="shared" ca="1" si="140"/>
        <v/>
      </c>
      <c r="AC271" s="310" t="e">
        <f t="shared" ca="1" si="141"/>
        <v>#N/A</v>
      </c>
      <c r="AD271" s="323" t="e">
        <f t="shared" ca="1" si="142"/>
        <v>#N/A</v>
      </c>
      <c r="AE271" s="324">
        <f t="shared" ca="1" si="121"/>
        <v>214.45111724463501</v>
      </c>
      <c r="AG271" s="306">
        <f t="shared" ca="1" si="143"/>
        <v>46.59124918586614</v>
      </c>
      <c r="AH271" s="304">
        <f t="shared" ca="1" si="144"/>
        <v>56.127540074308953</v>
      </c>
    </row>
    <row r="272" spans="1:34" x14ac:dyDescent="0.25">
      <c r="A272" s="347">
        <f t="shared" ca="1" si="122"/>
        <v>0.01</v>
      </c>
      <c r="B272" s="304">
        <f t="shared" ca="1" si="123"/>
        <v>2.6799999999999868</v>
      </c>
      <c r="D272" s="306">
        <f t="shared" ca="1" si="124"/>
        <v>13.133778774173916</v>
      </c>
      <c r="E272" s="307">
        <f t="shared" ca="1" si="125"/>
        <v>44.583647233691856</v>
      </c>
      <c r="F272" s="304">
        <f t="shared" ca="1" si="126"/>
        <v>46.477927509165255</v>
      </c>
      <c r="G272" s="306">
        <f t="shared" ca="1" si="127"/>
        <v>37.187322994540324</v>
      </c>
      <c r="H272" s="307">
        <f t="shared" ca="1" si="128"/>
        <v>153.91348823444633</v>
      </c>
      <c r="I272" s="304">
        <f t="shared" ca="1" si="129"/>
        <v>158.34222068669908</v>
      </c>
      <c r="J272" s="306">
        <f t="shared" ca="1" si="130"/>
        <v>48.258657106561436</v>
      </c>
      <c r="K272" s="307">
        <f t="shared" ca="1" si="131"/>
        <v>215.9880229446178</v>
      </c>
      <c r="L272" s="304">
        <f t="shared" ca="1" si="116"/>
        <v>221.3136327505683</v>
      </c>
      <c r="M272" s="306">
        <f t="shared" ca="1" si="132"/>
        <v>1.3337278383717595</v>
      </c>
      <c r="N272" s="304">
        <f t="shared" ca="1" si="133"/>
        <v>76.416976157808222</v>
      </c>
      <c r="P272" s="310">
        <f t="shared" ca="1" si="134"/>
        <v>9</v>
      </c>
      <c r="Q272" s="304">
        <f t="shared" ca="1" si="135"/>
        <v>795.27500000000271</v>
      </c>
      <c r="R272" s="306">
        <f t="shared" ca="1" si="136"/>
        <v>0.39837890377139551</v>
      </c>
      <c r="S272" s="307">
        <f t="shared" ca="1" si="137"/>
        <v>12.992712833761496</v>
      </c>
      <c r="T272" s="304">
        <f t="shared" ca="1" si="117"/>
        <v>127.45851289920029</v>
      </c>
      <c r="U272" s="311">
        <f t="shared" ca="1" si="118"/>
        <v>0</v>
      </c>
      <c r="V272" s="306">
        <f t="shared" ca="1" si="119"/>
        <v>1.1988241506863917</v>
      </c>
      <c r="W272" s="304">
        <f t="shared" ca="1" si="120"/>
        <v>68.635545381817906</v>
      </c>
      <c r="Y272" s="314" t="str">
        <f t="shared" ca="1" si="138"/>
        <v/>
      </c>
      <c r="Z272" s="315" t="str">
        <f t="shared" ca="1" si="139"/>
        <v/>
      </c>
      <c r="AA272" s="316" t="str">
        <f t="shared" ca="1" si="140"/>
        <v/>
      </c>
      <c r="AC272" s="310" t="e">
        <f t="shared" ca="1" si="141"/>
        <v>#N/A</v>
      </c>
      <c r="AD272" s="323" t="e">
        <f t="shared" ca="1" si="142"/>
        <v>#N/A</v>
      </c>
      <c r="AE272" s="324">
        <f t="shared" ca="1" si="121"/>
        <v>215.9880229446178</v>
      </c>
      <c r="AG272" s="306">
        <f t="shared" ca="1" si="143"/>
        <v>46.420858357633847</v>
      </c>
      <c r="AH272" s="304">
        <f t="shared" ca="1" si="144"/>
        <v>55.956813743030928</v>
      </c>
    </row>
    <row r="273" spans="1:34" x14ac:dyDescent="0.25">
      <c r="A273" s="347">
        <f t="shared" ca="1" si="122"/>
        <v>0.01</v>
      </c>
      <c r="B273" s="304">
        <f t="shared" ca="1" si="123"/>
        <v>2.6899999999999866</v>
      </c>
      <c r="D273" s="306">
        <f t="shared" ca="1" si="124"/>
        <v>13.101565521847128</v>
      </c>
      <c r="E273" s="307">
        <f t="shared" ca="1" si="125"/>
        <v>44.415673923764274</v>
      </c>
      <c r="F273" s="304">
        <f t="shared" ca="1" si="126"/>
        <v>46.307700323222782</v>
      </c>
      <c r="G273" s="306">
        <f t="shared" ca="1" si="127"/>
        <v>37.318338649758793</v>
      </c>
      <c r="H273" s="307">
        <f t="shared" ca="1" si="128"/>
        <v>154.35764497368399</v>
      </c>
      <c r="I273" s="304">
        <f t="shared" ca="1" si="129"/>
        <v>158.80472587867135</v>
      </c>
      <c r="J273" s="306">
        <f t="shared" ca="1" si="130"/>
        <v>48.631185414782934</v>
      </c>
      <c r="K273" s="307">
        <f t="shared" ca="1" si="131"/>
        <v>217.52937861065845</v>
      </c>
      <c r="L273" s="304">
        <f t="shared" ca="1" si="116"/>
        <v>222.89913134327418</v>
      </c>
      <c r="M273" s="306">
        <f t="shared" ca="1" si="132"/>
        <v>1.3335827596331702</v>
      </c>
      <c r="N273" s="304">
        <f t="shared" ca="1" si="133"/>
        <v>76.408663758389977</v>
      </c>
      <c r="P273" s="310">
        <f t="shared" ca="1" si="134"/>
        <v>9</v>
      </c>
      <c r="Q273" s="304">
        <f t="shared" ca="1" si="135"/>
        <v>793.22500000000275</v>
      </c>
      <c r="R273" s="306">
        <f t="shared" ca="1" si="136"/>
        <v>0.39735199263659138</v>
      </c>
      <c r="S273" s="307">
        <f t="shared" ca="1" si="137"/>
        <v>12.988739313835131</v>
      </c>
      <c r="T273" s="304">
        <f t="shared" ca="1" si="117"/>
        <v>127.41953266872264</v>
      </c>
      <c r="U273" s="311">
        <f t="shared" ca="1" si="118"/>
        <v>0</v>
      </c>
      <c r="V273" s="306">
        <f t="shared" ca="1" si="119"/>
        <v>1.1986393617827533</v>
      </c>
      <c r="W273" s="304">
        <f t="shared" ca="1" si="120"/>
        <v>69.026447540869526</v>
      </c>
      <c r="Y273" s="314" t="str">
        <f t="shared" ca="1" si="138"/>
        <v/>
      </c>
      <c r="Z273" s="315" t="str">
        <f t="shared" ca="1" si="139"/>
        <v/>
      </c>
      <c r="AA273" s="316" t="str">
        <f t="shared" ca="1" si="140"/>
        <v/>
      </c>
      <c r="AC273" s="310" t="e">
        <f t="shared" ca="1" si="141"/>
        <v>#N/A</v>
      </c>
      <c r="AD273" s="323" t="e">
        <f t="shared" ca="1" si="142"/>
        <v>#N/A</v>
      </c>
      <c r="AE273" s="324">
        <f t="shared" ca="1" si="121"/>
        <v>217.52937861065845</v>
      </c>
      <c r="AG273" s="306">
        <f t="shared" ca="1" si="143"/>
        <v>46.250352072399167</v>
      </c>
      <c r="AH273" s="304">
        <f t="shared" ca="1" si="144"/>
        <v>55.785972534407449</v>
      </c>
    </row>
    <row r="274" spans="1:34" x14ac:dyDescent="0.25">
      <c r="A274" s="347">
        <f t="shared" ca="1" si="122"/>
        <v>0.01</v>
      </c>
      <c r="B274" s="304">
        <f t="shared" ca="1" si="123"/>
        <v>2.6999999999999864</v>
      </c>
      <c r="D274" s="306">
        <f t="shared" ca="1" si="124"/>
        <v>13.069258855309309</v>
      </c>
      <c r="E274" s="307">
        <f t="shared" ca="1" si="125"/>
        <v>44.247605227022831</v>
      </c>
      <c r="F274" s="304">
        <f t="shared" ca="1" si="126"/>
        <v>46.13736116590912</v>
      </c>
      <c r="G274" s="306">
        <f t="shared" ca="1" si="127"/>
        <v>37.449031238311889</v>
      </c>
      <c r="H274" s="307">
        <f t="shared" ca="1" si="128"/>
        <v>154.80012102595421</v>
      </c>
      <c r="I274" s="304">
        <f t="shared" ca="1" si="129"/>
        <v>159.26552486441668</v>
      </c>
      <c r="J274" s="306">
        <f t="shared" ca="1" si="130"/>
        <v>49.005022264223285</v>
      </c>
      <c r="K274" s="307">
        <f t="shared" ca="1" si="131"/>
        <v>219.07516744065666</v>
      </c>
      <c r="L274" s="304">
        <f t="shared" ca="1" si="116"/>
        <v>224.48924516837943</v>
      </c>
      <c r="M274" s="306">
        <f t="shared" ca="1" si="132"/>
        <v>1.33343801378659</v>
      </c>
      <c r="N274" s="304">
        <f t="shared" ca="1" si="133"/>
        <v>76.400370432278891</v>
      </c>
      <c r="P274" s="310">
        <f t="shared" ca="1" si="134"/>
        <v>9</v>
      </c>
      <c r="Q274" s="304">
        <f t="shared" ca="1" si="135"/>
        <v>791.1750000000028</v>
      </c>
      <c r="R274" s="306">
        <f t="shared" ca="1" si="136"/>
        <v>0.3963250815017873</v>
      </c>
      <c r="S274" s="307">
        <f t="shared" ca="1" si="137"/>
        <v>12.984776063020114</v>
      </c>
      <c r="T274" s="304">
        <f t="shared" ca="1" si="117"/>
        <v>127.38065317822732</v>
      </c>
      <c r="U274" s="311">
        <f t="shared" ca="1" si="118"/>
        <v>0</v>
      </c>
      <c r="V274" s="306">
        <f t="shared" ca="1" si="119"/>
        <v>1.1984540696948431</v>
      </c>
      <c r="W274" s="304">
        <f t="shared" ca="1" si="120"/>
        <v>69.41688024114282</v>
      </c>
      <c r="Y274" s="314" t="str">
        <f t="shared" ca="1" si="138"/>
        <v/>
      </c>
      <c r="Z274" s="315" t="str">
        <f t="shared" ca="1" si="139"/>
        <v/>
      </c>
      <c r="AA274" s="316" t="str">
        <f t="shared" ca="1" si="140"/>
        <v/>
      </c>
      <c r="AC274" s="310" t="e">
        <f t="shared" ca="1" si="141"/>
        <v>#N/A</v>
      </c>
      <c r="AD274" s="323" t="e">
        <f t="shared" ca="1" si="142"/>
        <v>#N/A</v>
      </c>
      <c r="AE274" s="324">
        <f t="shared" ca="1" si="121"/>
        <v>219.07516744065666</v>
      </c>
      <c r="AG274" s="306">
        <f t="shared" ca="1" si="143"/>
        <v>46.079731733066296</v>
      </c>
      <c r="AH274" s="304">
        <f t="shared" ca="1" si="144"/>
        <v>55.615017845072451</v>
      </c>
    </row>
    <row r="275" spans="1:34" x14ac:dyDescent="0.25">
      <c r="A275" s="347">
        <f t="shared" ca="1" si="122"/>
        <v>0.01</v>
      </c>
      <c r="B275" s="304">
        <f t="shared" ca="1" si="123"/>
        <v>2.7099999999999862</v>
      </c>
      <c r="D275" s="306">
        <f t="shared" ca="1" si="124"/>
        <v>13.036859404034036</v>
      </c>
      <c r="E275" s="307">
        <f t="shared" ca="1" si="125"/>
        <v>44.07944244512823</v>
      </c>
      <c r="F275" s="304">
        <f t="shared" ca="1" si="126"/>
        <v>45.966911462419603</v>
      </c>
      <c r="G275" s="306">
        <f t="shared" ca="1" si="127"/>
        <v>37.57939983235223</v>
      </c>
      <c r="H275" s="307">
        <f t="shared" ca="1" si="128"/>
        <v>155.24091545040548</v>
      </c>
      <c r="I275" s="304">
        <f t="shared" ca="1" si="129"/>
        <v>159.72461651742896</v>
      </c>
      <c r="J275" s="306">
        <f t="shared" ca="1" si="130"/>
        <v>49.380164419576609</v>
      </c>
      <c r="K275" s="307">
        <f t="shared" ca="1" si="131"/>
        <v>220.62537262303846</v>
      </c>
      <c r="L275" s="304">
        <f t="shared" ca="1" si="116"/>
        <v>226.08395715565266</v>
      </c>
      <c r="M275" s="306">
        <f t="shared" ca="1" si="132"/>
        <v>1.3332935975693581</v>
      </c>
      <c r="N275" s="304">
        <f t="shared" ca="1" si="133"/>
        <v>76.392095992538259</v>
      </c>
      <c r="P275" s="310">
        <f t="shared" ca="1" si="134"/>
        <v>9</v>
      </c>
      <c r="Q275" s="304">
        <f t="shared" ca="1" si="135"/>
        <v>789.12500000000284</v>
      </c>
      <c r="R275" s="306">
        <f t="shared" ca="1" si="136"/>
        <v>0.39529817036698317</v>
      </c>
      <c r="S275" s="307">
        <f t="shared" ca="1" si="137"/>
        <v>12.980823081316444</v>
      </c>
      <c r="T275" s="304">
        <f t="shared" ca="1" si="117"/>
        <v>127.34187442771433</v>
      </c>
      <c r="U275" s="311">
        <f t="shared" ca="1" si="118"/>
        <v>0</v>
      </c>
      <c r="V275" s="306">
        <f t="shared" ca="1" si="119"/>
        <v>1.1982682766746533</v>
      </c>
      <c r="W275" s="304">
        <f t="shared" ca="1" si="120"/>
        <v>69.80682936306404</v>
      </c>
      <c r="Y275" s="314" t="str">
        <f t="shared" ca="1" si="138"/>
        <v/>
      </c>
      <c r="Z275" s="315" t="str">
        <f t="shared" ca="1" si="139"/>
        <v/>
      </c>
      <c r="AA275" s="316" t="str">
        <f t="shared" ca="1" si="140"/>
        <v/>
      </c>
      <c r="AC275" s="310" t="e">
        <f t="shared" ca="1" si="141"/>
        <v>#N/A</v>
      </c>
      <c r="AD275" s="323" t="e">
        <f t="shared" ca="1" si="142"/>
        <v>#N/A</v>
      </c>
      <c r="AE275" s="324">
        <f t="shared" ca="1" si="121"/>
        <v>220.62537262303846</v>
      </c>
      <c r="AG275" s="306">
        <f t="shared" ca="1" si="143"/>
        <v>45.908998740047963</v>
      </c>
      <c r="AH275" s="304">
        <f t="shared" ca="1" si="144"/>
        <v>55.443951069231517</v>
      </c>
    </row>
    <row r="276" spans="1:34" x14ac:dyDescent="0.25">
      <c r="A276" s="347">
        <f t="shared" ca="1" si="122"/>
        <v>0.01</v>
      </c>
      <c r="B276" s="304">
        <f t="shared" ca="1" si="123"/>
        <v>2.719999999999986</v>
      </c>
      <c r="D276" s="306">
        <f t="shared" ca="1" si="124"/>
        <v>13.004367793734437</v>
      </c>
      <c r="E276" s="307">
        <f t="shared" ca="1" si="125"/>
        <v>43.911186877899645</v>
      </c>
      <c r="F276" s="304">
        <f t="shared" ca="1" si="126"/>
        <v>45.796352635778142</v>
      </c>
      <c r="G276" s="306">
        <f t="shared" ca="1" si="127"/>
        <v>37.709443510289574</v>
      </c>
      <c r="H276" s="307">
        <f t="shared" ca="1" si="128"/>
        <v>155.68002731918449</v>
      </c>
      <c r="I276" s="304">
        <f t="shared" ca="1" si="129"/>
        <v>160.18199972518059</v>
      </c>
      <c r="J276" s="306">
        <f t="shared" ca="1" si="130"/>
        <v>49.756608636289819</v>
      </c>
      <c r="K276" s="307">
        <f t="shared" ca="1" si="131"/>
        <v>222.1799773368864</v>
      </c>
      <c r="L276" s="304">
        <f t="shared" ca="1" si="116"/>
        <v>227.68325022364792</v>
      </c>
      <c r="M276" s="306">
        <f t="shared" ca="1" si="132"/>
        <v>1.3331495077544446</v>
      </c>
      <c r="N276" s="304">
        <f t="shared" ca="1" si="133"/>
        <v>76.383840254272897</v>
      </c>
      <c r="P276" s="310">
        <f t="shared" ca="1" si="134"/>
        <v>9</v>
      </c>
      <c r="Q276" s="304">
        <f t="shared" ca="1" si="135"/>
        <v>787.07500000000289</v>
      </c>
      <c r="R276" s="306">
        <f t="shared" ca="1" si="136"/>
        <v>0.39427125923217904</v>
      </c>
      <c r="S276" s="307">
        <f t="shared" ca="1" si="137"/>
        <v>12.976880368724123</v>
      </c>
      <c r="T276" s="304">
        <f t="shared" ca="1" si="117"/>
        <v>127.30319641718366</v>
      </c>
      <c r="U276" s="311">
        <f t="shared" ca="1" si="118"/>
        <v>0</v>
      </c>
      <c r="V276" s="306">
        <f t="shared" ca="1" si="119"/>
        <v>1.1980819849746458</v>
      </c>
      <c r="W276" s="304">
        <f t="shared" ca="1" si="120"/>
        <v>70.196280848294265</v>
      </c>
      <c r="Y276" s="314" t="str">
        <f t="shared" ca="1" si="138"/>
        <v/>
      </c>
      <c r="Z276" s="315" t="str">
        <f t="shared" ca="1" si="139"/>
        <v/>
      </c>
      <c r="AA276" s="316" t="str">
        <f t="shared" ca="1" si="140"/>
        <v/>
      </c>
      <c r="AC276" s="310" t="e">
        <f t="shared" ca="1" si="141"/>
        <v>#N/A</v>
      </c>
      <c r="AD276" s="323" t="e">
        <f t="shared" ca="1" si="142"/>
        <v>#N/A</v>
      </c>
      <c r="AE276" s="324">
        <f t="shared" ca="1" si="121"/>
        <v>222.1799773368864</v>
      </c>
      <c r="AG276" s="306">
        <f t="shared" ca="1" si="143"/>
        <v>45.738154491230326</v>
      </c>
      <c r="AH276" s="304">
        <f t="shared" ca="1" si="144"/>
        <v>55.272773598625704</v>
      </c>
    </row>
    <row r="277" spans="1:34" x14ac:dyDescent="0.25">
      <c r="A277" s="347">
        <f t="shared" ca="1" si="122"/>
        <v>0.01</v>
      </c>
      <c r="B277" s="304">
        <f t="shared" ca="1" si="123"/>
        <v>2.7299999999999858</v>
      </c>
      <c r="D277" s="306">
        <f t="shared" ca="1" si="124"/>
        <v>12.971784646407</v>
      </c>
      <c r="E277" s="307">
        <f t="shared" ca="1" si="125"/>
        <v>43.742839823270899</v>
      </c>
      <c r="F277" s="304">
        <f t="shared" ca="1" si="126"/>
        <v>45.62568610680934</v>
      </c>
      <c r="G277" s="306">
        <f t="shared" ca="1" si="127"/>
        <v>37.839161356753642</v>
      </c>
      <c r="H277" s="307">
        <f t="shared" ca="1" si="128"/>
        <v>156.11745571741719</v>
      </c>
      <c r="I277" s="304">
        <f t="shared" ca="1" si="129"/>
        <v>160.63767338909685</v>
      </c>
      <c r="J277" s="306">
        <f t="shared" ca="1" si="130"/>
        <v>50.134351660625036</v>
      </c>
      <c r="K277" s="307">
        <f t="shared" ca="1" si="131"/>
        <v>223.73896475206939</v>
      </c>
      <c r="L277" s="304">
        <f t="shared" ca="1" si="116"/>
        <v>229.28710727984461</v>
      </c>
      <c r="M277" s="306">
        <f t="shared" ca="1" si="132"/>
        <v>1.3330057411498824</v>
      </c>
      <c r="N277" s="304">
        <f t="shared" ca="1" si="133"/>
        <v>76.375603034596551</v>
      </c>
      <c r="P277" s="310">
        <f t="shared" ca="1" si="134"/>
        <v>9</v>
      </c>
      <c r="Q277" s="304">
        <f t="shared" ca="1" si="135"/>
        <v>785.02500000000293</v>
      </c>
      <c r="R277" s="306">
        <f t="shared" ca="1" si="136"/>
        <v>0.39324434809737496</v>
      </c>
      <c r="S277" s="307">
        <f t="shared" ca="1" si="137"/>
        <v>12.972947925243149</v>
      </c>
      <c r="T277" s="304">
        <f t="shared" ca="1" si="117"/>
        <v>127.2646191466353</v>
      </c>
      <c r="U277" s="311">
        <f t="shared" ca="1" si="118"/>
        <v>0</v>
      </c>
      <c r="V277" s="306">
        <f t="shared" ca="1" si="119"/>
        <v>1.1978951968477267</v>
      </c>
      <c r="W277" s="304">
        <f t="shared" ca="1" si="120"/>
        <v>70.585220699999198</v>
      </c>
      <c r="Y277" s="314" t="str">
        <f t="shared" ca="1" si="138"/>
        <v/>
      </c>
      <c r="Z277" s="315" t="str">
        <f t="shared" ca="1" si="139"/>
        <v/>
      </c>
      <c r="AA277" s="316" t="str">
        <f t="shared" ca="1" si="140"/>
        <v/>
      </c>
      <c r="AC277" s="310" t="e">
        <f t="shared" ca="1" si="141"/>
        <v>#N/A</v>
      </c>
      <c r="AD277" s="323" t="e">
        <f t="shared" ca="1" si="142"/>
        <v>#N/A</v>
      </c>
      <c r="AE277" s="324">
        <f t="shared" ca="1" si="121"/>
        <v>223.73896475206939</v>
      </c>
      <c r="AG277" s="306">
        <f t="shared" ca="1" si="143"/>
        <v>45.567200381938072</v>
      </c>
      <c r="AH277" s="304">
        <f t="shared" ca="1" si="144"/>
        <v>55.10148682249573</v>
      </c>
    </row>
    <row r="278" spans="1:34" x14ac:dyDescent="0.25">
      <c r="A278" s="347">
        <f t="shared" ca="1" si="122"/>
        <v>0.01</v>
      </c>
      <c r="B278" s="304">
        <f t="shared" ca="1" si="123"/>
        <v>2.7399999999999856</v>
      </c>
      <c r="D278" s="306">
        <f t="shared" ca="1" si="124"/>
        <v>12.939110580374274</v>
      </c>
      <c r="E278" s="307">
        <f t="shared" ca="1" si="125"/>
        <v>43.574402577247007</v>
      </c>
      <c r="F278" s="304">
        <f t="shared" ca="1" si="126"/>
        <v>45.454913294110945</v>
      </c>
      <c r="G278" s="306">
        <f t="shared" ca="1" si="127"/>
        <v>37.968552462557383</v>
      </c>
      <c r="H278" s="307">
        <f t="shared" ca="1" si="128"/>
        <v>156.55319974318965</v>
      </c>
      <c r="I278" s="304">
        <f t="shared" ca="1" si="129"/>
        <v>161.09163642453015</v>
      </c>
      <c r="J278" s="306">
        <f t="shared" ca="1" si="130"/>
        <v>50.513390229721594</v>
      </c>
      <c r="K278" s="307">
        <f t="shared" ca="1" si="131"/>
        <v>225.30231802937243</v>
      </c>
      <c r="L278" s="304">
        <f t="shared" ca="1" si="116"/>
        <v>230.89551122078706</v>
      </c>
      <c r="M278" s="306">
        <f t="shared" ca="1" si="132"/>
        <v>1.3328622945982074</v>
      </c>
      <c r="N278" s="304">
        <f t="shared" ca="1" si="133"/>
        <v>76.367384152599868</v>
      </c>
      <c r="P278" s="310">
        <f t="shared" ca="1" si="134"/>
        <v>9</v>
      </c>
      <c r="Q278" s="304">
        <f t="shared" ca="1" si="135"/>
        <v>782.97500000000298</v>
      </c>
      <c r="R278" s="306">
        <f t="shared" ca="1" si="136"/>
        <v>0.39221743696257083</v>
      </c>
      <c r="S278" s="307">
        <f t="shared" ca="1" si="137"/>
        <v>12.969025750873524</v>
      </c>
      <c r="T278" s="304">
        <f t="shared" ca="1" si="117"/>
        <v>127.22614261606927</v>
      </c>
      <c r="U278" s="311">
        <f t="shared" ca="1" si="118"/>
        <v>0</v>
      </c>
      <c r="V278" s="306">
        <f t="shared" ca="1" si="119"/>
        <v>1.1977079145472205</v>
      </c>
      <c r="W278" s="304">
        <f t="shared" ca="1" si="120"/>
        <v>70.973634983115559</v>
      </c>
      <c r="Y278" s="314" t="str">
        <f t="shared" ca="1" si="138"/>
        <v/>
      </c>
      <c r="Z278" s="315" t="str">
        <f t="shared" ca="1" si="139"/>
        <v/>
      </c>
      <c r="AA278" s="316" t="str">
        <f t="shared" ca="1" si="140"/>
        <v/>
      </c>
      <c r="AC278" s="310" t="e">
        <f t="shared" ca="1" si="141"/>
        <v>#N/A</v>
      </c>
      <c r="AD278" s="323" t="e">
        <f t="shared" ca="1" si="142"/>
        <v>#N/A</v>
      </c>
      <c r="AE278" s="324">
        <f t="shared" ca="1" si="121"/>
        <v>225.30231802937243</v>
      </c>
      <c r="AG278" s="306">
        <f t="shared" ca="1" si="143"/>
        <v>45.396137804899823</v>
      </c>
      <c r="AH278" s="304">
        <f t="shared" ca="1" si="144"/>
        <v>54.930092127546359</v>
      </c>
    </row>
    <row r="279" spans="1:34" x14ac:dyDescent="0.25">
      <c r="A279" s="347">
        <f t="shared" ca="1" si="122"/>
        <v>0.01</v>
      </c>
      <c r="B279" s="304">
        <f t="shared" ca="1" si="123"/>
        <v>2.7499999999999853</v>
      </c>
      <c r="D279" s="306">
        <f t="shared" ca="1" si="124"/>
        <v>12.906346210326648</v>
      </c>
      <c r="E279" s="307">
        <f t="shared" ca="1" si="125"/>
        <v>43.405876433861103</v>
      </c>
      <c r="F279" s="304">
        <f t="shared" ca="1" si="126"/>
        <v>45.284035614026628</v>
      </c>
      <c r="G279" s="306">
        <f t="shared" ca="1" si="127"/>
        <v>38.097615924660651</v>
      </c>
      <c r="H279" s="307">
        <f t="shared" ca="1" si="128"/>
        <v>156.98725850752825</v>
      </c>
      <c r="I279" s="304">
        <f t="shared" ca="1" si="129"/>
        <v>161.54388776073347</v>
      </c>
      <c r="J279" s="306">
        <f t="shared" ca="1" si="130"/>
        <v>50.893721071657687</v>
      </c>
      <c r="K279" s="307">
        <f t="shared" ca="1" si="131"/>
        <v>226.87002032062603</v>
      </c>
      <c r="L279" s="304">
        <f t="shared" ca="1" si="116"/>
        <v>232.50844493222382</v>
      </c>
      <c r="M279" s="306">
        <f t="shared" ca="1" si="132"/>
        <v>1.3327191649759114</v>
      </c>
      <c r="N279" s="304">
        <f t="shared" ca="1" si="133"/>
        <v>76.359183429319003</v>
      </c>
      <c r="P279" s="310">
        <f t="shared" ca="1" si="134"/>
        <v>9</v>
      </c>
      <c r="Q279" s="304">
        <f t="shared" ca="1" si="135"/>
        <v>780.92500000000302</v>
      </c>
      <c r="R279" s="306">
        <f t="shared" ca="1" si="136"/>
        <v>0.3911905258277667</v>
      </c>
      <c r="S279" s="307">
        <f t="shared" ca="1" si="137"/>
        <v>12.965113845615246</v>
      </c>
      <c r="T279" s="304">
        <f t="shared" ca="1" si="117"/>
        <v>127.18776682548557</v>
      </c>
      <c r="U279" s="311">
        <f t="shared" ca="1" si="118"/>
        <v>0</v>
      </c>
      <c r="V279" s="306">
        <f t="shared" ca="1" si="119"/>
        <v>1.1975201403268463</v>
      </c>
      <c r="W279" s="304">
        <f t="shared" ca="1" si="120"/>
        <v>71.361509824613407</v>
      </c>
      <c r="Y279" s="314" t="str">
        <f t="shared" ca="1" si="138"/>
        <v/>
      </c>
      <c r="Z279" s="315" t="str">
        <f t="shared" ca="1" si="139"/>
        <v/>
      </c>
      <c r="AA279" s="316" t="str">
        <f t="shared" ca="1" si="140"/>
        <v/>
      </c>
      <c r="AC279" s="310" t="e">
        <f t="shared" ca="1" si="141"/>
        <v>#N/A</v>
      </c>
      <c r="AD279" s="323" t="e">
        <f t="shared" ca="1" si="142"/>
        <v>#N/A</v>
      </c>
      <c r="AE279" s="324">
        <f t="shared" ca="1" si="121"/>
        <v>226.87002032062603</v>
      </c>
      <c r="AG279" s="306">
        <f t="shared" ca="1" si="143"/>
        <v>45.224968150213705</v>
      </c>
      <c r="AH279" s="304">
        <f t="shared" ca="1" si="144"/>
        <v>54.758590897911049</v>
      </c>
    </row>
    <row r="280" spans="1:34" x14ac:dyDescent="0.25">
      <c r="A280" s="347">
        <f t="shared" ca="1" si="122"/>
        <v>0.01</v>
      </c>
      <c r="B280" s="304">
        <f t="shared" ca="1" si="123"/>
        <v>2.7599999999999851</v>
      </c>
      <c r="D280" s="306">
        <f t="shared" ca="1" si="124"/>
        <v>12.873492147363162</v>
      </c>
      <c r="E280" s="307">
        <f t="shared" ca="1" si="125"/>
        <v>43.237262685131817</v>
      </c>
      <c r="F280" s="304">
        <f t="shared" ca="1" si="126"/>
        <v>45.113054480619169</v>
      </c>
      <c r="G280" s="306">
        <f t="shared" ca="1" si="127"/>
        <v>38.226350846134281</v>
      </c>
      <c r="H280" s="307">
        <f t="shared" ca="1" si="128"/>
        <v>157.41963113437956</v>
      </c>
      <c r="I280" s="304">
        <f t="shared" ca="1" si="129"/>
        <v>161.99442634083394</v>
      </c>
      <c r="J280" s="306">
        <f t="shared" ca="1" si="130"/>
        <v>51.275340905511662</v>
      </c>
      <c r="K280" s="307">
        <f t="shared" ca="1" si="131"/>
        <v>228.44205476883556</v>
      </c>
      <c r="L280" s="304">
        <f t="shared" ca="1" si="116"/>
        <v>234.12589128924657</v>
      </c>
      <c r="M280" s="306">
        <f t="shared" ca="1" si="132"/>
        <v>1.3325763491929055</v>
      </c>
      <c r="N280" s="304">
        <f t="shared" ca="1" si="133"/>
        <v>76.351000687704911</v>
      </c>
      <c r="P280" s="310">
        <f t="shared" ca="1" si="134"/>
        <v>9</v>
      </c>
      <c r="Q280" s="304">
        <f t="shared" ca="1" si="135"/>
        <v>778.87500000000307</v>
      </c>
      <c r="R280" s="306">
        <f t="shared" ca="1" si="136"/>
        <v>0.39016361469296262</v>
      </c>
      <c r="S280" s="307">
        <f t="shared" ca="1" si="137"/>
        <v>12.961212209468316</v>
      </c>
      <c r="T280" s="304">
        <f t="shared" ca="1" si="117"/>
        <v>127.14949177488418</v>
      </c>
      <c r="U280" s="311">
        <f t="shared" ca="1" si="118"/>
        <v>0</v>
      </c>
      <c r="V280" s="306">
        <f t="shared" ca="1" si="119"/>
        <v>1.1973318764406922</v>
      </c>
      <c r="W280" s="304">
        <f t="shared" ca="1" si="120"/>
        <v>71.748831413755127</v>
      </c>
      <c r="Y280" s="314" t="str">
        <f t="shared" ca="1" si="138"/>
        <v/>
      </c>
      <c r="Z280" s="315" t="str">
        <f t="shared" ca="1" si="139"/>
        <v/>
      </c>
      <c r="AA280" s="316" t="str">
        <f t="shared" ca="1" si="140"/>
        <v/>
      </c>
      <c r="AC280" s="310" t="e">
        <f t="shared" ca="1" si="141"/>
        <v>#N/A</v>
      </c>
      <c r="AD280" s="323" t="e">
        <f t="shared" ca="1" si="142"/>
        <v>#N/A</v>
      </c>
      <c r="AE280" s="324">
        <f t="shared" ca="1" si="121"/>
        <v>228.44205476883556</v>
      </c>
      <c r="AG280" s="306">
        <f t="shared" ca="1" si="143"/>
        <v>45.05369280531314</v>
      </c>
      <c r="AH280" s="304">
        <f t="shared" ca="1" si="144"/>
        <v>54.586984515116789</v>
      </c>
    </row>
    <row r="281" spans="1:34" x14ac:dyDescent="0.25">
      <c r="A281" s="347">
        <f t="shared" ca="1" si="122"/>
        <v>0.01</v>
      </c>
      <c r="B281" s="304">
        <f t="shared" ca="1" si="123"/>
        <v>2.7699999999999849</v>
      </c>
      <c r="D281" s="306">
        <f t="shared" ca="1" si="124"/>
        <v>12.840548999031322</v>
      </c>
      <c r="E281" s="307">
        <f t="shared" ca="1" si="125"/>
        <v>43.068562621021144</v>
      </c>
      <c r="F281" s="304">
        <f t="shared" ca="1" si="126"/>
        <v>44.941971305644174</v>
      </c>
      <c r="G281" s="306">
        <f t="shared" ca="1" si="127"/>
        <v>38.354756336124595</v>
      </c>
      <c r="H281" s="307">
        <f t="shared" ca="1" si="128"/>
        <v>157.85031676058978</v>
      </c>
      <c r="I281" s="304">
        <f t="shared" ca="1" si="129"/>
        <v>162.44325112180567</v>
      </c>
      <c r="J281" s="306">
        <f t="shared" ca="1" si="130"/>
        <v>51.658246441422953</v>
      </c>
      <c r="K281" s="307">
        <f t="shared" ca="1" si="131"/>
        <v>230.0184045083104</v>
      </c>
      <c r="L281" s="304">
        <f t="shared" ca="1" si="116"/>
        <v>235.74783315642904</v>
      </c>
      <c r="M281" s="306">
        <f t="shared" ca="1" si="132"/>
        <v>1.332433844191993</v>
      </c>
      <c r="N281" s="304">
        <f t="shared" ca="1" si="133"/>
        <v>76.342835752593118</v>
      </c>
      <c r="P281" s="310">
        <f t="shared" ca="1" si="134"/>
        <v>9</v>
      </c>
      <c r="Q281" s="304">
        <f t="shared" ca="1" si="135"/>
        <v>776.82500000000312</v>
      </c>
      <c r="R281" s="306">
        <f t="shared" ca="1" si="136"/>
        <v>0.38913670355815849</v>
      </c>
      <c r="S281" s="307">
        <f t="shared" ca="1" si="137"/>
        <v>12.957320842432734</v>
      </c>
      <c r="T281" s="304">
        <f t="shared" ca="1" si="117"/>
        <v>127.11131746426513</v>
      </c>
      <c r="U281" s="311">
        <f t="shared" ca="1" si="118"/>
        <v>0</v>
      </c>
      <c r="V281" s="306">
        <f t="shared" ca="1" si="119"/>
        <v>1.1971431251431894</v>
      </c>
      <c r="W281" s="304">
        <f t="shared" ca="1" si="120"/>
        <v>72.13558600235028</v>
      </c>
      <c r="Y281" s="314" t="str">
        <f t="shared" ca="1" si="138"/>
        <v/>
      </c>
      <c r="Z281" s="315" t="str">
        <f t="shared" ca="1" si="139"/>
        <v/>
      </c>
      <c r="AA281" s="316" t="str">
        <f t="shared" ca="1" si="140"/>
        <v/>
      </c>
      <c r="AC281" s="310" t="e">
        <f t="shared" ca="1" si="141"/>
        <v>#N/A</v>
      </c>
      <c r="AD281" s="323" t="e">
        <f t="shared" ca="1" si="142"/>
        <v>#N/A</v>
      </c>
      <c r="AE281" s="324">
        <f t="shared" ca="1" si="121"/>
        <v>230.0184045083104</v>
      </c>
      <c r="AG281" s="306">
        <f t="shared" ca="1" si="143"/>
        <v>44.882313154932945</v>
      </c>
      <c r="AH281" s="304">
        <f t="shared" ca="1" si="144"/>
        <v>54.415274358049317</v>
      </c>
    </row>
    <row r="282" spans="1:34" x14ac:dyDescent="0.25">
      <c r="A282" s="347">
        <f t="shared" ca="1" si="122"/>
        <v>0.01</v>
      </c>
      <c r="B282" s="304">
        <f t="shared" ca="1" si="123"/>
        <v>2.7799999999999847</v>
      </c>
      <c r="D282" s="306">
        <f t="shared" ca="1" si="124"/>
        <v>12.807517369366062</v>
      </c>
      <c r="E282" s="307">
        <f t="shared" ca="1" si="125"/>
        <v>42.899777529392608</v>
      </c>
      <c r="F282" s="304">
        <f t="shared" ca="1" si="126"/>
        <v>44.770787498523994</v>
      </c>
      <c r="G282" s="306">
        <f t="shared" ca="1" si="127"/>
        <v>38.482831509818254</v>
      </c>
      <c r="H282" s="307">
        <f t="shared" ca="1" si="128"/>
        <v>158.27931453588371</v>
      </c>
      <c r="I282" s="304">
        <f t="shared" ca="1" si="129"/>
        <v>162.89036107444255</v>
      </c>
      <c r="J282" s="306">
        <f t="shared" ca="1" si="130"/>
        <v>52.042434380652665</v>
      </c>
      <c r="K282" s="307">
        <f t="shared" ca="1" si="131"/>
        <v>231.59905266479277</v>
      </c>
      <c r="L282" s="304">
        <f t="shared" ca="1" si="116"/>
        <v>237.37425338796538</v>
      </c>
      <c r="M282" s="306">
        <f t="shared" ca="1" si="132"/>
        <v>1.3322916469483521</v>
      </c>
      <c r="N282" s="304">
        <f t="shared" ca="1" si="133"/>
        <v>76.334688450674093</v>
      </c>
      <c r="P282" s="310">
        <f t="shared" ca="1" si="134"/>
        <v>9</v>
      </c>
      <c r="Q282" s="304">
        <f t="shared" ca="1" si="135"/>
        <v>774.77500000000316</v>
      </c>
      <c r="R282" s="306">
        <f t="shared" ca="1" si="136"/>
        <v>0.38810979242335442</v>
      </c>
      <c r="S282" s="307">
        <f t="shared" ca="1" si="137"/>
        <v>12.953439744508501</v>
      </c>
      <c r="T282" s="304">
        <f t="shared" ca="1" si="117"/>
        <v>127.0732438936284</v>
      </c>
      <c r="U282" s="311">
        <f t="shared" ca="1" si="118"/>
        <v>0</v>
      </c>
      <c r="V282" s="306">
        <f t="shared" ca="1" si="119"/>
        <v>1.1969538886890903</v>
      </c>
      <c r="W282" s="304">
        <f t="shared" ca="1" si="120"/>
        <v>72.521759905007343</v>
      </c>
      <c r="Y282" s="314" t="str">
        <f t="shared" ca="1" si="138"/>
        <v/>
      </c>
      <c r="Z282" s="315" t="str">
        <f t="shared" ca="1" si="139"/>
        <v/>
      </c>
      <c r="AA282" s="316" t="str">
        <f t="shared" ca="1" si="140"/>
        <v/>
      </c>
      <c r="AC282" s="310" t="e">
        <f t="shared" ca="1" si="141"/>
        <v>#N/A</v>
      </c>
      <c r="AD282" s="323" t="e">
        <f t="shared" ca="1" si="142"/>
        <v>#N/A</v>
      </c>
      <c r="AE282" s="324">
        <f t="shared" ca="1" si="121"/>
        <v>231.59905266479277</v>
      </c>
      <c r="AG282" s="306">
        <f t="shared" ca="1" si="143"/>
        <v>44.710830581075612</v>
      </c>
      <c r="AH282" s="304">
        <f t="shared" ca="1" si="144"/>
        <v>54.243461802918475</v>
      </c>
    </row>
    <row r="283" spans="1:34" x14ac:dyDescent="0.25">
      <c r="A283" s="347">
        <f t="shared" ca="1" si="122"/>
        <v>0.01</v>
      </c>
      <c r="B283" s="304">
        <f t="shared" ca="1" si="123"/>
        <v>2.7899999999999845</v>
      </c>
      <c r="D283" s="306">
        <f t="shared" ca="1" si="124"/>
        <v>12.774397858927804</v>
      </c>
      <c r="E283" s="307">
        <f t="shared" ca="1" si="125"/>
        <v>42.730908695969859</v>
      </c>
      <c r="F283" s="304">
        <f t="shared" ca="1" si="126"/>
        <v>44.59950446632218</v>
      </c>
      <c r="G283" s="306">
        <f t="shared" ca="1" si="127"/>
        <v>38.610575488407534</v>
      </c>
      <c r="H283" s="307">
        <f t="shared" ca="1" si="128"/>
        <v>158.70662362284341</v>
      </c>
      <c r="I283" s="304">
        <f t="shared" ca="1" si="129"/>
        <v>163.33575518333055</v>
      </c>
      <c r="J283" s="306">
        <f t="shared" ca="1" si="130"/>
        <v>52.427901415643795</v>
      </c>
      <c r="K283" s="307">
        <f t="shared" ca="1" si="131"/>
        <v>233.18398235558641</v>
      </c>
      <c r="L283" s="304">
        <f t="shared" ca="1" si="116"/>
        <v>239.00513482780846</v>
      </c>
      <c r="M283" s="306">
        <f t="shared" ca="1" si="132"/>
        <v>1.3321497544690308</v>
      </c>
      <c r="N283" s="304">
        <f t="shared" ca="1" si="133"/>
        <v>76.326558610464346</v>
      </c>
      <c r="P283" s="310">
        <f t="shared" ca="1" si="134"/>
        <v>9</v>
      </c>
      <c r="Q283" s="304">
        <f t="shared" ca="1" si="135"/>
        <v>772.72500000000321</v>
      </c>
      <c r="R283" s="306">
        <f t="shared" ca="1" si="136"/>
        <v>0.38708288128855028</v>
      </c>
      <c r="S283" s="307">
        <f t="shared" ca="1" si="137"/>
        <v>12.949568915695615</v>
      </c>
      <c r="T283" s="304">
        <f t="shared" ca="1" si="117"/>
        <v>127.03527106297399</v>
      </c>
      <c r="U283" s="311">
        <f t="shared" ca="1" si="118"/>
        <v>0</v>
      </c>
      <c r="V283" s="306">
        <f t="shared" ca="1" si="119"/>
        <v>1.1967641693334381</v>
      </c>
      <c r="W283" s="304">
        <f t="shared" ca="1" si="120"/>
        <v>72.907339499381095</v>
      </c>
      <c r="Y283" s="314" t="str">
        <f t="shared" ca="1" si="138"/>
        <v/>
      </c>
      <c r="Z283" s="315" t="str">
        <f t="shared" ca="1" si="139"/>
        <v/>
      </c>
      <c r="AA283" s="316" t="str">
        <f t="shared" ca="1" si="140"/>
        <v/>
      </c>
      <c r="AC283" s="310" t="e">
        <f t="shared" ca="1" si="141"/>
        <v>#N/A</v>
      </c>
      <c r="AD283" s="323" t="e">
        <f t="shared" ca="1" si="142"/>
        <v>#N/A</v>
      </c>
      <c r="AE283" s="324">
        <f t="shared" ca="1" si="121"/>
        <v>233.18398235558641</v>
      </c>
      <c r="AG283" s="306">
        <f t="shared" ca="1" si="143"/>
        <v>44.539246462977815</v>
      </c>
      <c r="AH283" s="304">
        <f t="shared" ca="1" si="144"/>
        <v>54.071548223223836</v>
      </c>
    </row>
    <row r="284" spans="1:34" x14ac:dyDescent="0.25">
      <c r="A284" s="347">
        <f t="shared" ca="1" si="122"/>
        <v>0.01</v>
      </c>
      <c r="B284" s="304">
        <f t="shared" ca="1" si="123"/>
        <v>2.7999999999999843</v>
      </c>
      <c r="D284" s="306">
        <f t="shared" ca="1" si="124"/>
        <v>12.741191064839565</v>
      </c>
      <c r="E284" s="307">
        <f t="shared" ca="1" si="125"/>
        <v>42.561957404295825</v>
      </c>
      <c r="F284" s="304">
        <f t="shared" ca="1" si="126"/>
        <v>44.42812361371837</v>
      </c>
      <c r="G284" s="306">
        <f t="shared" ca="1" si="127"/>
        <v>38.737987399055932</v>
      </c>
      <c r="H284" s="307">
        <f t="shared" ca="1" si="128"/>
        <v>159.13224319688638</v>
      </c>
      <c r="I284" s="304">
        <f t="shared" ca="1" si="129"/>
        <v>163.77943244681978</v>
      </c>
      <c r="J284" s="306">
        <f t="shared" ca="1" si="130"/>
        <v>52.814644230081115</v>
      </c>
      <c r="K284" s="307">
        <f t="shared" ca="1" si="131"/>
        <v>234.77317668968504</v>
      </c>
      <c r="L284" s="304">
        <f t="shared" ca="1" si="116"/>
        <v>240.64046030980768</v>
      </c>
      <c r="M284" s="306">
        <f t="shared" ca="1" si="132"/>
        <v>1.3320081637924486</v>
      </c>
      <c r="N284" s="304">
        <f t="shared" ca="1" si="133"/>
        <v>76.318446062277772</v>
      </c>
      <c r="P284" s="310">
        <f t="shared" ca="1" si="134"/>
        <v>9</v>
      </c>
      <c r="Q284" s="304">
        <f t="shared" ca="1" si="135"/>
        <v>770.67500000000325</v>
      </c>
      <c r="R284" s="306">
        <f t="shared" ca="1" si="136"/>
        <v>0.38605597015374615</v>
      </c>
      <c r="S284" s="307">
        <f t="shared" ca="1" si="137"/>
        <v>12.945708355994077</v>
      </c>
      <c r="T284" s="304">
        <f t="shared" ca="1" si="117"/>
        <v>126.99739897230189</v>
      </c>
      <c r="U284" s="311">
        <f t="shared" ca="1" si="118"/>
        <v>0</v>
      </c>
      <c r="V284" s="306">
        <f t="shared" ca="1" si="119"/>
        <v>1.1965739693315489</v>
      </c>
      <c r="W284" s="304">
        <f t="shared" ca="1" si="120"/>
        <v>73.292311226417183</v>
      </c>
      <c r="Y284" s="314" t="str">
        <f t="shared" ca="1" si="138"/>
        <v/>
      </c>
      <c r="Z284" s="315" t="str">
        <f t="shared" ca="1" si="139"/>
        <v/>
      </c>
      <c r="AA284" s="316" t="str">
        <f t="shared" ca="1" si="140"/>
        <v/>
      </c>
      <c r="AC284" s="310" t="e">
        <f t="shared" ca="1" si="141"/>
        <v>#N/A</v>
      </c>
      <c r="AD284" s="323" t="e">
        <f t="shared" ca="1" si="142"/>
        <v>#N/A</v>
      </c>
      <c r="AE284" s="324">
        <f t="shared" ca="1" si="121"/>
        <v>234.77317668968504</v>
      </c>
      <c r="AG284" s="306">
        <f t="shared" ca="1" si="143"/>
        <v>44.367562177077225</v>
      </c>
      <c r="AH284" s="304">
        <f t="shared" ca="1" si="144"/>
        <v>53.899534989720678</v>
      </c>
    </row>
    <row r="285" spans="1:34" x14ac:dyDescent="0.25">
      <c r="A285" s="347">
        <f t="shared" ca="1" si="122"/>
        <v>0.01</v>
      </c>
      <c r="B285" s="304">
        <f t="shared" ca="1" si="123"/>
        <v>2.8099999999999841</v>
      </c>
      <c r="D285" s="306">
        <f t="shared" ca="1" si="124"/>
        <v>12.707897580823316</v>
      </c>
      <c r="E285" s="307">
        <f t="shared" ca="1" si="125"/>
        <v>42.392924935692037</v>
      </c>
      <c r="F285" s="304">
        <f t="shared" ca="1" si="126"/>
        <v>44.256646342983501</v>
      </c>
      <c r="G285" s="306">
        <f t="shared" ca="1" si="127"/>
        <v>38.865066374864163</v>
      </c>
      <c r="H285" s="307">
        <f t="shared" ca="1" si="128"/>
        <v>159.55617244624329</v>
      </c>
      <c r="I285" s="304">
        <f t="shared" ca="1" si="129"/>
        <v>164.22139187699611</v>
      </c>
      <c r="J285" s="306">
        <f t="shared" ca="1" si="130"/>
        <v>53.202659498950716</v>
      </c>
      <c r="K285" s="307">
        <f t="shared" ca="1" si="131"/>
        <v>236.36661876790069</v>
      </c>
      <c r="L285" s="304">
        <f t="shared" ca="1" si="116"/>
        <v>242.28021265784665</v>
      </c>
      <c r="M285" s="306">
        <f t="shared" ca="1" si="132"/>
        <v>1.3318668719879081</v>
      </c>
      <c r="N285" s="304">
        <f t="shared" ca="1" si="133"/>
        <v>76.310350638197818</v>
      </c>
      <c r="P285" s="310">
        <f t="shared" ca="1" si="134"/>
        <v>9</v>
      </c>
      <c r="Q285" s="304">
        <f t="shared" ca="1" si="135"/>
        <v>768.6250000000033</v>
      </c>
      <c r="R285" s="306">
        <f t="shared" ca="1" si="136"/>
        <v>0.38502905901894208</v>
      </c>
      <c r="S285" s="307">
        <f t="shared" ca="1" si="137"/>
        <v>12.941858065403887</v>
      </c>
      <c r="T285" s="304">
        <f t="shared" ca="1" si="117"/>
        <v>126.95962762161213</v>
      </c>
      <c r="U285" s="311">
        <f t="shared" ca="1" si="118"/>
        <v>0</v>
      </c>
      <c r="V285" s="306">
        <f t="shared" ca="1" si="119"/>
        <v>1.1963832909389831</v>
      </c>
      <c r="W285" s="304">
        <f t="shared" ca="1" si="120"/>
        <v>73.676661590592147</v>
      </c>
      <c r="Y285" s="314" t="str">
        <f t="shared" ca="1" si="138"/>
        <v/>
      </c>
      <c r="Z285" s="315" t="str">
        <f t="shared" ca="1" si="139"/>
        <v/>
      </c>
      <c r="AA285" s="316" t="str">
        <f t="shared" ca="1" si="140"/>
        <v/>
      </c>
      <c r="AC285" s="310" t="e">
        <f t="shared" ca="1" si="141"/>
        <v>#N/A</v>
      </c>
      <c r="AD285" s="323" t="e">
        <f t="shared" ca="1" si="142"/>
        <v>#N/A</v>
      </c>
      <c r="AE285" s="324">
        <f t="shared" ca="1" si="121"/>
        <v>236.36661876790069</v>
      </c>
      <c r="AG285" s="306">
        <f t="shared" ca="1" si="143"/>
        <v>44.195779096979486</v>
      </c>
      <c r="AH285" s="304">
        <f t="shared" ca="1" si="144"/>
        <v>53.727423470386078</v>
      </c>
    </row>
    <row r="286" spans="1:34" x14ac:dyDescent="0.25">
      <c r="A286" s="347">
        <f t="shared" ca="1" si="122"/>
        <v>0.01</v>
      </c>
      <c r="B286" s="304">
        <f t="shared" ca="1" si="123"/>
        <v>2.8199999999999839</v>
      </c>
      <c r="D286" s="306">
        <f t="shared" ca="1" si="124"/>
        <v>12.674517997235482</v>
      </c>
      <c r="E286" s="307">
        <f t="shared" ca="1" si="125"/>
        <v>42.223812569218538</v>
      </c>
      <c r="F286" s="304">
        <f t="shared" ca="1" si="126"/>
        <v>44.08507405395553</v>
      </c>
      <c r="G286" s="306">
        <f t="shared" ca="1" si="127"/>
        <v>38.991811554836517</v>
      </c>
      <c r="H286" s="307">
        <f t="shared" ca="1" si="128"/>
        <v>159.97841057193548</v>
      </c>
      <c r="I286" s="304">
        <f t="shared" ca="1" si="129"/>
        <v>164.66163249965257</v>
      </c>
      <c r="J286" s="306">
        <f t="shared" ca="1" si="130"/>
        <v>53.591943888599218</v>
      </c>
      <c r="K286" s="307">
        <f t="shared" ca="1" si="131"/>
        <v>237.96429168299159</v>
      </c>
      <c r="L286" s="304">
        <f t="shared" ca="1" si="116"/>
        <v>243.92437468598064</v>
      </c>
      <c r="M286" s="306">
        <f t="shared" ca="1" si="132"/>
        <v>1.3317258761551178</v>
      </c>
      <c r="N286" s="304">
        <f t="shared" ca="1" si="133"/>
        <v>76.30227217205001</v>
      </c>
      <c r="P286" s="310">
        <f t="shared" ca="1" si="134"/>
        <v>9</v>
      </c>
      <c r="Q286" s="304">
        <f t="shared" ca="1" si="135"/>
        <v>766.57500000000334</v>
      </c>
      <c r="R286" s="306">
        <f t="shared" ca="1" si="136"/>
        <v>0.38400214788413795</v>
      </c>
      <c r="S286" s="307">
        <f t="shared" ca="1" si="137"/>
        <v>12.938018043925045</v>
      </c>
      <c r="T286" s="304">
        <f t="shared" ca="1" si="117"/>
        <v>126.92195701090469</v>
      </c>
      <c r="U286" s="311">
        <f t="shared" ca="1" si="118"/>
        <v>0</v>
      </c>
      <c r="V286" s="306">
        <f t="shared" ca="1" si="119"/>
        <v>1.1961921364115202</v>
      </c>
      <c r="W286" s="304">
        <f t="shared" ca="1" si="120"/>
        <v>74.060377160150267</v>
      </c>
      <c r="Y286" s="314" t="str">
        <f t="shared" ca="1" si="138"/>
        <v/>
      </c>
      <c r="Z286" s="315" t="str">
        <f t="shared" ca="1" si="139"/>
        <v/>
      </c>
      <c r="AA286" s="316" t="str">
        <f t="shared" ca="1" si="140"/>
        <v/>
      </c>
      <c r="AC286" s="310" t="e">
        <f t="shared" ca="1" si="141"/>
        <v>#N/A</v>
      </c>
      <c r="AD286" s="323" t="e">
        <f t="shared" ca="1" si="142"/>
        <v>#N/A</v>
      </c>
      <c r="AE286" s="324">
        <f t="shared" ca="1" si="121"/>
        <v>237.96429168299159</v>
      </c>
      <c r="AG286" s="306">
        <f t="shared" ca="1" si="143"/>
        <v>44.023898593425429</v>
      </c>
      <c r="AH286" s="304">
        <f t="shared" ca="1" si="144"/>
        <v>53.555215030385334</v>
      </c>
    </row>
    <row r="287" spans="1:34" x14ac:dyDescent="0.25">
      <c r="A287" s="347">
        <f t="shared" ca="1" si="122"/>
        <v>0.01</v>
      </c>
      <c r="B287" s="304">
        <f t="shared" ca="1" si="123"/>
        <v>2.8299999999999836</v>
      </c>
      <c r="D287" s="306">
        <f t="shared" ca="1" si="124"/>
        <v>12.641052901101586</v>
      </c>
      <c r="E287" s="307">
        <f t="shared" ca="1" si="125"/>
        <v>42.054621581634123</v>
      </c>
      <c r="F287" s="304">
        <f t="shared" ca="1" si="126"/>
        <v>43.913408144015598</v>
      </c>
      <c r="G287" s="306">
        <f t="shared" ca="1" si="127"/>
        <v>39.118222083847535</v>
      </c>
      <c r="H287" s="307">
        <f t="shared" ca="1" si="128"/>
        <v>160.39895678775181</v>
      </c>
      <c r="I287" s="304">
        <f t="shared" ca="1" si="129"/>
        <v>165.10015335426036</v>
      </c>
      <c r="J287" s="306">
        <f t="shared" ca="1" si="130"/>
        <v>53.982494056792639</v>
      </c>
      <c r="K287" s="307">
        <f t="shared" ca="1" si="131"/>
        <v>239.56617851979001</v>
      </c>
      <c r="L287" s="304">
        <f t="shared" ca="1" si="116"/>
        <v>245.57292919857341</v>
      </c>
      <c r="M287" s="306">
        <f t="shared" ca="1" si="132"/>
        <v>1.3315851734237225</v>
      </c>
      <c r="N287" s="304">
        <f t="shared" ca="1" si="133"/>
        <v>76.294210499375097</v>
      </c>
      <c r="P287" s="310">
        <f t="shared" ca="1" si="134"/>
        <v>9</v>
      </c>
      <c r="Q287" s="304">
        <f t="shared" ca="1" si="135"/>
        <v>764.52500000000339</v>
      </c>
      <c r="R287" s="306">
        <f t="shared" ca="1" si="136"/>
        <v>0.38297523674933381</v>
      </c>
      <c r="S287" s="307">
        <f t="shared" ca="1" si="137"/>
        <v>12.93418829155755</v>
      </c>
      <c r="T287" s="304">
        <f t="shared" ca="1" si="117"/>
        <v>126.88438714017957</v>
      </c>
      <c r="U287" s="311">
        <f t="shared" ca="1" si="118"/>
        <v>0</v>
      </c>
      <c r="V287" s="306">
        <f t="shared" ca="1" si="119"/>
        <v>1.196000508005137</v>
      </c>
      <c r="W287" s="304">
        <f t="shared" ca="1" si="120"/>
        <v>74.443444567336684</v>
      </c>
      <c r="Y287" s="314" t="str">
        <f t="shared" ca="1" si="138"/>
        <v/>
      </c>
      <c r="Z287" s="315" t="str">
        <f t="shared" ca="1" si="139"/>
        <v/>
      </c>
      <c r="AA287" s="316" t="str">
        <f t="shared" ca="1" si="140"/>
        <v/>
      </c>
      <c r="AC287" s="310" t="e">
        <f t="shared" ca="1" si="141"/>
        <v>#N/A</v>
      </c>
      <c r="AD287" s="323" t="e">
        <f t="shared" ca="1" si="142"/>
        <v>#N/A</v>
      </c>
      <c r="AE287" s="324">
        <f t="shared" ca="1" si="121"/>
        <v>239.56617851979001</v>
      </c>
      <c r="AG287" s="306">
        <f t="shared" ca="1" si="143"/>
        <v>43.851922034258649</v>
      </c>
      <c r="AH287" s="304">
        <f t="shared" ca="1" si="144"/>
        <v>53.382911032038677</v>
      </c>
    </row>
    <row r="288" spans="1:34" x14ac:dyDescent="0.25">
      <c r="A288" s="347">
        <f t="shared" ca="1" si="122"/>
        <v>0.01</v>
      </c>
      <c r="B288" s="304">
        <f t="shared" ca="1" si="123"/>
        <v>2.8399999999999834</v>
      </c>
      <c r="D288" s="306">
        <f t="shared" ca="1" si="124"/>
        <v>12.613983453326266</v>
      </c>
      <c r="E288" s="307">
        <f t="shared" ca="1" si="125"/>
        <v>41.911925973903948</v>
      </c>
      <c r="F288" s="304">
        <f t="shared" ca="1" si="126"/>
        <v>43.768962946393799</v>
      </c>
      <c r="G288" s="306">
        <f t="shared" ca="1" si="127"/>
        <v>39.244361918380797</v>
      </c>
      <c r="H288" s="307">
        <f t="shared" ca="1" si="128"/>
        <v>160.81807604749085</v>
      </c>
      <c r="I288" s="304">
        <f t="shared" ca="1" si="129"/>
        <v>165.53722700950806</v>
      </c>
      <c r="J288" s="306">
        <f t="shared" ca="1" si="130"/>
        <v>54.37430697680378</v>
      </c>
      <c r="K288" s="307">
        <f t="shared" ca="1" si="131"/>
        <v>241.17226368396624</v>
      </c>
      <c r="L288" s="304">
        <f t="shared" ca="1" si="116"/>
        <v>247.22586035780364</v>
      </c>
      <c r="M288" s="306">
        <f t="shared" ca="1" si="132"/>
        <v>1.3314447611848428</v>
      </c>
      <c r="N288" s="304">
        <f t="shared" ca="1" si="133"/>
        <v>76.286165470695295</v>
      </c>
      <c r="P288" s="310">
        <f t="shared" ca="1" si="134"/>
        <v>10</v>
      </c>
      <c r="Q288" s="304">
        <f t="shared" ca="1" si="135"/>
        <v>762.8285714285737</v>
      </c>
      <c r="R288" s="306">
        <f t="shared" ca="1" si="136"/>
        <v>0.38212544094962603</v>
      </c>
      <c r="S288" s="307">
        <f t="shared" ca="1" si="137"/>
        <v>12.930367037148054</v>
      </c>
      <c r="T288" s="304">
        <f t="shared" ca="1" si="117"/>
        <v>126.84690063442241</v>
      </c>
      <c r="U288" s="311">
        <f t="shared" ca="1" si="118"/>
        <v>0</v>
      </c>
      <c r="V288" s="306">
        <f t="shared" ca="1" si="119"/>
        <v>1.195808407817079</v>
      </c>
      <c r="W288" s="304">
        <f t="shared" ca="1" si="120"/>
        <v>74.826097767363223</v>
      </c>
      <c r="Y288" s="314" t="str">
        <f t="shared" ca="1" si="138"/>
        <v/>
      </c>
      <c r="Z288" s="315" t="str">
        <f t="shared" ca="1" si="139"/>
        <v/>
      </c>
      <c r="AA288" s="316" t="str">
        <f t="shared" ca="1" si="140"/>
        <v/>
      </c>
      <c r="AC288" s="310" t="e">
        <f t="shared" ca="1" si="141"/>
        <v>#N/A</v>
      </c>
      <c r="AD288" s="323" t="e">
        <f t="shared" ca="1" si="142"/>
        <v>#N/A</v>
      </c>
      <c r="AE288" s="324">
        <f t="shared" ca="1" si="121"/>
        <v>241.17226368396624</v>
      </c>
      <c r="AG288" s="306">
        <f t="shared" ca="1" si="143"/>
        <v>43.707202341509259</v>
      </c>
      <c r="AH288" s="304">
        <f t="shared" ca="1" si="144"/>
        <v>53.237864391904267</v>
      </c>
    </row>
    <row r="289" spans="1:34" x14ac:dyDescent="0.25">
      <c r="A289" s="347">
        <f t="shared" ca="1" si="122"/>
        <v>0.01</v>
      </c>
      <c r="B289" s="304">
        <f t="shared" ca="1" si="123"/>
        <v>2.8499999999999832</v>
      </c>
      <c r="D289" s="306">
        <f t="shared" ca="1" si="124"/>
        <v>12.593324327347201</v>
      </c>
      <c r="E289" s="307">
        <f t="shared" ca="1" si="125"/>
        <v>41.79573622213703</v>
      </c>
      <c r="F289" s="304">
        <f t="shared" ca="1" si="126"/>
        <v>43.651751213029385</v>
      </c>
      <c r="G289" s="306">
        <f t="shared" ca="1" si="127"/>
        <v>39.370295161654269</v>
      </c>
      <c r="H289" s="307">
        <f t="shared" ca="1" si="128"/>
        <v>161.23603340971221</v>
      </c>
      <c r="I289" s="304">
        <f t="shared" ca="1" si="129"/>
        <v>165.97312617051475</v>
      </c>
      <c r="J289" s="306">
        <f t="shared" ca="1" si="130"/>
        <v>54.767380262203957</v>
      </c>
      <c r="K289" s="307">
        <f t="shared" ca="1" si="131"/>
        <v>242.78253423125224</v>
      </c>
      <c r="L289" s="304">
        <f t="shared" ca="1" si="116"/>
        <v>248.88315505179136</v>
      </c>
      <c r="M289" s="306">
        <f t="shared" ca="1" si="132"/>
        <v>1.3313046370865296</v>
      </c>
      <c r="N289" s="304">
        <f t="shared" ca="1" si="133"/>
        <v>76.278136951253884</v>
      </c>
      <c r="P289" s="310">
        <f t="shared" ca="1" si="134"/>
        <v>10</v>
      </c>
      <c r="Q289" s="304">
        <f t="shared" ca="1" si="135"/>
        <v>761.48571428571654</v>
      </c>
      <c r="R289" s="306">
        <f t="shared" ca="1" si="136"/>
        <v>0.38145276048501564</v>
      </c>
      <c r="S289" s="307">
        <f t="shared" ca="1" si="137"/>
        <v>12.926552509543203</v>
      </c>
      <c r="T289" s="304">
        <f t="shared" ca="1" si="117"/>
        <v>126.80948011861884</v>
      </c>
      <c r="U289" s="311">
        <f t="shared" ca="1" si="118"/>
        <v>0</v>
      </c>
      <c r="V289" s="306">
        <f t="shared" ca="1" si="119"/>
        <v>1.1956158376270301</v>
      </c>
      <c r="W289" s="304">
        <f t="shared" ca="1" si="120"/>
        <v>75.20857331332752</v>
      </c>
      <c r="Y289" s="314" t="str">
        <f t="shared" ca="1" si="138"/>
        <v/>
      </c>
      <c r="Z289" s="315" t="str">
        <f t="shared" ca="1" si="139"/>
        <v/>
      </c>
      <c r="AA289" s="316" t="str">
        <f t="shared" ca="1" si="140"/>
        <v/>
      </c>
      <c r="AC289" s="310" t="e">
        <f t="shared" ca="1" si="141"/>
        <v>#N/A</v>
      </c>
      <c r="AD289" s="323" t="e">
        <f t="shared" ca="1" si="142"/>
        <v>#N/A</v>
      </c>
      <c r="AE289" s="324">
        <f t="shared" ca="1" si="121"/>
        <v>242.78253423125224</v>
      </c>
      <c r="AG289" s="306">
        <f t="shared" ca="1" si="143"/>
        <v>43.589753158520708</v>
      </c>
      <c r="AH289" s="304">
        <f t="shared" ca="1" si="144"/>
        <v>53.120088748443756</v>
      </c>
    </row>
    <row r="290" spans="1:34" x14ac:dyDescent="0.25">
      <c r="A290" s="347">
        <f t="shared" ca="1" si="122"/>
        <v>0.01</v>
      </c>
      <c r="B290" s="304">
        <f t="shared" ca="1" si="123"/>
        <v>2.859999999999983</v>
      </c>
      <c r="D290" s="306">
        <f t="shared" ca="1" si="124"/>
        <v>12.572598208805719</v>
      </c>
      <c r="E290" s="307">
        <f t="shared" ca="1" si="125"/>
        <v>41.679475923875941</v>
      </c>
      <c r="F290" s="304">
        <f t="shared" ca="1" si="126"/>
        <v>43.534456916435964</v>
      </c>
      <c r="G290" s="306">
        <f t="shared" ca="1" si="127"/>
        <v>39.496021143742325</v>
      </c>
      <c r="H290" s="307">
        <f t="shared" ca="1" si="128"/>
        <v>161.65282816895098</v>
      </c>
      <c r="I290" s="304">
        <f t="shared" ca="1" si="129"/>
        <v>166.40784999875257</v>
      </c>
      <c r="J290" s="306">
        <f t="shared" ca="1" si="130"/>
        <v>55.161711843730941</v>
      </c>
      <c r="K290" s="307">
        <f t="shared" ca="1" si="131"/>
        <v>244.39697853914555</v>
      </c>
      <c r="L290" s="304">
        <f t="shared" ca="1" si="116"/>
        <v>250.54480152777941</v>
      </c>
      <c r="M290" s="306">
        <f t="shared" ca="1" si="132"/>
        <v>1.33116479879935</v>
      </c>
      <c r="N290" s="304">
        <f t="shared" ca="1" si="133"/>
        <v>76.270124807584153</v>
      </c>
      <c r="P290" s="310">
        <f t="shared" ca="1" si="134"/>
        <v>10</v>
      </c>
      <c r="Q290" s="304">
        <f t="shared" ca="1" si="135"/>
        <v>760.14285714285938</v>
      </c>
      <c r="R290" s="306">
        <f t="shared" ca="1" si="136"/>
        <v>0.38078008002040525</v>
      </c>
      <c r="S290" s="307">
        <f t="shared" ca="1" si="137"/>
        <v>12.922744708742998</v>
      </c>
      <c r="T290" s="304">
        <f t="shared" ca="1" si="117"/>
        <v>126.77212559276882</v>
      </c>
      <c r="U290" s="311">
        <f t="shared" ca="1" si="118"/>
        <v>0</v>
      </c>
      <c r="V290" s="306">
        <f t="shared" ca="1" si="119"/>
        <v>1.1954227990561705</v>
      </c>
      <c r="W290" s="304">
        <f t="shared" ca="1" si="120"/>
        <v>75.590861705833447</v>
      </c>
      <c r="Y290" s="314" t="str">
        <f t="shared" ca="1" si="138"/>
        <v/>
      </c>
      <c r="Z290" s="315" t="str">
        <f t="shared" ca="1" si="139"/>
        <v/>
      </c>
      <c r="AA290" s="316" t="str">
        <f t="shared" ca="1" si="140"/>
        <v/>
      </c>
      <c r="AC290" s="310" t="e">
        <f t="shared" ca="1" si="141"/>
        <v>#N/A</v>
      </c>
      <c r="AD290" s="323" t="e">
        <f t="shared" ca="1" si="142"/>
        <v>#N/A</v>
      </c>
      <c r="AE290" s="324">
        <f t="shared" ca="1" si="121"/>
        <v>244.39697853914555</v>
      </c>
      <c r="AG290" s="306">
        <f t="shared" ca="1" si="143"/>
        <v>43.472220120613187</v>
      </c>
      <c r="AH290" s="304">
        <f t="shared" ca="1" si="144"/>
        <v>53.002229732676952</v>
      </c>
    </row>
    <row r="291" spans="1:34" x14ac:dyDescent="0.25">
      <c r="A291" s="347">
        <f t="shared" ca="1" si="122"/>
        <v>0.01</v>
      </c>
      <c r="B291" s="304">
        <f t="shared" ca="1" si="123"/>
        <v>2.8699999999999828</v>
      </c>
      <c r="D291" s="306">
        <f t="shared" ca="1" si="124"/>
        <v>12.551805486047304</v>
      </c>
      <c r="E291" s="307">
        <f t="shared" ca="1" si="125"/>
        <v>41.563145868582687</v>
      </c>
      <c r="F291" s="304">
        <f t="shared" ca="1" si="126"/>
        <v>43.417080918143832</v>
      </c>
      <c r="G291" s="306">
        <f t="shared" ca="1" si="127"/>
        <v>39.621539198602797</v>
      </c>
      <c r="H291" s="307">
        <f t="shared" ca="1" si="128"/>
        <v>162.0684596276368</v>
      </c>
      <c r="I291" s="304">
        <f t="shared" ca="1" si="129"/>
        <v>166.8413976641929</v>
      </c>
      <c r="J291" s="306">
        <f t="shared" ca="1" si="130"/>
        <v>55.557299645442669</v>
      </c>
      <c r="K291" s="307">
        <f t="shared" ca="1" si="131"/>
        <v>246.01558497812849</v>
      </c>
      <c r="L291" s="304">
        <f t="shared" ca="1" si="116"/>
        <v>252.21078802466849</v>
      </c>
      <c r="M291" s="306">
        <f t="shared" ca="1" si="132"/>
        <v>1.3310252440160804</v>
      </c>
      <c r="N291" s="304">
        <f t="shared" ca="1" si="133"/>
        <v>76.262128907491942</v>
      </c>
      <c r="P291" s="310">
        <f t="shared" ca="1" si="134"/>
        <v>10</v>
      </c>
      <c r="Q291" s="304">
        <f t="shared" ca="1" si="135"/>
        <v>758.80000000000234</v>
      </c>
      <c r="R291" s="306">
        <f t="shared" ca="1" si="136"/>
        <v>0.38010739955579492</v>
      </c>
      <c r="S291" s="307">
        <f t="shared" ca="1" si="137"/>
        <v>12.918943634747441</v>
      </c>
      <c r="T291" s="304">
        <f t="shared" ca="1" si="117"/>
        <v>126.73483705687241</v>
      </c>
      <c r="U291" s="311">
        <f t="shared" ca="1" si="118"/>
        <v>0</v>
      </c>
      <c r="V291" s="306">
        <f t="shared" ca="1" si="119"/>
        <v>1.195229293726138</v>
      </c>
      <c r="W291" s="304">
        <f t="shared" ca="1" si="120"/>
        <v>75.97295347601839</v>
      </c>
      <c r="Y291" s="314" t="str">
        <f t="shared" ca="1" si="138"/>
        <v/>
      </c>
      <c r="Z291" s="315" t="str">
        <f t="shared" ca="1" si="139"/>
        <v/>
      </c>
      <c r="AA291" s="316" t="str">
        <f t="shared" ca="1" si="140"/>
        <v/>
      </c>
      <c r="AC291" s="310" t="e">
        <f t="shared" ca="1" si="141"/>
        <v>#N/A</v>
      </c>
      <c r="AD291" s="323" t="e">
        <f t="shared" ca="1" si="142"/>
        <v>#N/A</v>
      </c>
      <c r="AE291" s="324">
        <f t="shared" ca="1" si="121"/>
        <v>246.01558497812849</v>
      </c>
      <c r="AG291" s="306">
        <f t="shared" ca="1" si="143"/>
        <v>43.354604077741463</v>
      </c>
      <c r="AH291" s="304">
        <f t="shared" ca="1" si="144"/>
        <v>52.884288190295628</v>
      </c>
    </row>
    <row r="292" spans="1:34" x14ac:dyDescent="0.25">
      <c r="A292" s="347">
        <f t="shared" ca="1" si="122"/>
        <v>0.01</v>
      </c>
      <c r="B292" s="304">
        <f t="shared" ca="1" si="123"/>
        <v>2.8799999999999826</v>
      </c>
      <c r="D292" s="306">
        <f t="shared" ca="1" si="124"/>
        <v>12.5309465455182</v>
      </c>
      <c r="E292" s="307">
        <f t="shared" ca="1" si="125"/>
        <v>41.446746844908191</v>
      </c>
      <c r="F292" s="304">
        <f t="shared" ca="1" si="126"/>
        <v>43.299624078651554</v>
      </c>
      <c r="G292" s="306">
        <f t="shared" ca="1" si="127"/>
        <v>39.746848664057978</v>
      </c>
      <c r="H292" s="307">
        <f t="shared" ca="1" si="128"/>
        <v>162.48292709608589</v>
      </c>
      <c r="I292" s="304">
        <f t="shared" ca="1" si="129"/>
        <v>167.27376834529522</v>
      </c>
      <c r="J292" s="306">
        <f t="shared" ca="1" si="130"/>
        <v>55.954141584755973</v>
      </c>
      <c r="K292" s="307">
        <f t="shared" ca="1" si="131"/>
        <v>247.63834191174709</v>
      </c>
      <c r="L292" s="304">
        <f t="shared" ca="1" si="116"/>
        <v>253.88110277310179</v>
      </c>
      <c r="M292" s="306">
        <f t="shared" ca="1" si="132"/>
        <v>1.3308859704514036</v>
      </c>
      <c r="N292" s="304">
        <f t="shared" ca="1" si="133"/>
        <v>76.254149120038207</v>
      </c>
      <c r="P292" s="310">
        <f t="shared" ca="1" si="134"/>
        <v>10</v>
      </c>
      <c r="Q292" s="304">
        <f t="shared" ca="1" si="135"/>
        <v>757.45714285714519</v>
      </c>
      <c r="R292" s="306">
        <f t="shared" ca="1" si="136"/>
        <v>0.37943471909118454</v>
      </c>
      <c r="S292" s="307">
        <f t="shared" ca="1" si="137"/>
        <v>12.915149287556529</v>
      </c>
      <c r="T292" s="304">
        <f t="shared" ca="1" si="117"/>
        <v>126.69761451092955</v>
      </c>
      <c r="U292" s="311">
        <f t="shared" ca="1" si="118"/>
        <v>0</v>
      </c>
      <c r="V292" s="306">
        <f t="shared" ca="1" si="119"/>
        <v>1.1950353232590138</v>
      </c>
      <c r="W292" s="304">
        <f t="shared" ca="1" si="120"/>
        <v>76.354839185714141</v>
      </c>
      <c r="Y292" s="314" t="str">
        <f t="shared" ca="1" si="138"/>
        <v/>
      </c>
      <c r="Z292" s="315" t="str">
        <f t="shared" ca="1" si="139"/>
        <v/>
      </c>
      <c r="AA292" s="316" t="str">
        <f t="shared" ca="1" si="140"/>
        <v/>
      </c>
      <c r="AC292" s="310" t="e">
        <f t="shared" ca="1" si="141"/>
        <v>#N/A</v>
      </c>
      <c r="AD292" s="323" t="e">
        <f t="shared" ca="1" si="142"/>
        <v>#N/A</v>
      </c>
      <c r="AE292" s="324">
        <f t="shared" ca="1" si="121"/>
        <v>247.63834191174709</v>
      </c>
      <c r="AG292" s="306">
        <f t="shared" ca="1" si="143"/>
        <v>43.236905878713578</v>
      </c>
      <c r="AH292" s="304">
        <f t="shared" ca="1" si="144"/>
        <v>52.76626496588176</v>
      </c>
    </row>
    <row r="293" spans="1:34" x14ac:dyDescent="0.25">
      <c r="A293" s="347">
        <f t="shared" ca="1" si="122"/>
        <v>0.01</v>
      </c>
      <c r="B293" s="304">
        <f t="shared" ca="1" si="123"/>
        <v>2.8899999999999824</v>
      </c>
      <c r="D293" s="306">
        <f t="shared" ca="1" si="124"/>
        <v>12.510021771784647</v>
      </c>
      <c r="E293" s="307">
        <f t="shared" ca="1" si="125"/>
        <v>41.330279640670419</v>
      </c>
      <c r="F293" s="304">
        <f t="shared" ca="1" si="126"/>
        <v>43.182087257409655</v>
      </c>
      <c r="G293" s="306">
        <f t="shared" ca="1" si="127"/>
        <v>39.871948881775822</v>
      </c>
      <c r="H293" s="307">
        <f t="shared" ca="1" si="128"/>
        <v>162.89622989249258</v>
      </c>
      <c r="I293" s="304">
        <f t="shared" ca="1" si="129"/>
        <v>167.70496122899507</v>
      </c>
      <c r="J293" s="306">
        <f t="shared" ca="1" si="130"/>
        <v>56.352235572485142</v>
      </c>
      <c r="K293" s="307">
        <f t="shared" ca="1" si="131"/>
        <v>249.26523769668998</v>
      </c>
      <c r="L293" s="304">
        <f t="shared" ca="1" si="116"/>
        <v>255.55573399554982</v>
      </c>
      <c r="M293" s="306">
        <f t="shared" ca="1" si="132"/>
        <v>1.3307469758416113</v>
      </c>
      <c r="N293" s="304">
        <f t="shared" ca="1" si="133"/>
        <v>76.246185315522055</v>
      </c>
      <c r="P293" s="310">
        <f t="shared" ca="1" si="134"/>
        <v>10</v>
      </c>
      <c r="Q293" s="304">
        <f t="shared" ca="1" si="135"/>
        <v>756.11428571428803</v>
      </c>
      <c r="R293" s="306">
        <f t="shared" ca="1" si="136"/>
        <v>0.37876203862657415</v>
      </c>
      <c r="S293" s="307">
        <f t="shared" ca="1" si="137"/>
        <v>12.911361667170263</v>
      </c>
      <c r="T293" s="304">
        <f t="shared" ca="1" si="117"/>
        <v>126.66045795494028</v>
      </c>
      <c r="U293" s="311">
        <f t="shared" ca="1" si="118"/>
        <v>0</v>
      </c>
      <c r="V293" s="306">
        <f t="shared" ca="1" si="119"/>
        <v>1.1948408892773061</v>
      </c>
      <c r="W293" s="304">
        <f t="shared" ca="1" si="120"/>
        <v>76.73650942760537</v>
      </c>
      <c r="Y293" s="314" t="str">
        <f t="shared" ca="1" si="138"/>
        <v/>
      </c>
      <c r="Z293" s="315" t="str">
        <f t="shared" ca="1" si="139"/>
        <v/>
      </c>
      <c r="AA293" s="316" t="str">
        <f t="shared" ca="1" si="140"/>
        <v/>
      </c>
      <c r="AC293" s="310" t="e">
        <f t="shared" ca="1" si="141"/>
        <v>#N/A</v>
      </c>
      <c r="AD293" s="323" t="e">
        <f t="shared" ca="1" si="142"/>
        <v>#N/A</v>
      </c>
      <c r="AE293" s="324">
        <f t="shared" ca="1" si="121"/>
        <v>249.26523769668998</v>
      </c>
      <c r="AG293" s="306">
        <f t="shared" ca="1" si="143"/>
        <v>43.119126371172925</v>
      </c>
      <c r="AH293" s="304">
        <f t="shared" ca="1" si="144"/>
        <v>52.648160902889053</v>
      </c>
    </row>
    <row r="294" spans="1:34" x14ac:dyDescent="0.25">
      <c r="A294" s="347">
        <f t="shared" ca="1" si="122"/>
        <v>0.01</v>
      </c>
      <c r="B294" s="304">
        <f t="shared" ca="1" si="123"/>
        <v>2.8999999999999821</v>
      </c>
      <c r="D294" s="306">
        <f t="shared" ca="1" si="124"/>
        <v>12.489031547551782</v>
      </c>
      <c r="E294" s="307">
        <f t="shared" ca="1" si="125"/>
        <v>41.213745042832691</v>
      </c>
      <c r="F294" s="304">
        <f t="shared" ca="1" si="126"/>
        <v>43.064471312804478</v>
      </c>
      <c r="G294" s="306">
        <f t="shared" ca="1" si="127"/>
        <v>39.99683919725134</v>
      </c>
      <c r="H294" s="307">
        <f t="shared" ca="1" si="128"/>
        <v>163.30836734292092</v>
      </c>
      <c r="I294" s="304">
        <f t="shared" ca="1" si="129"/>
        <v>168.13497551069253</v>
      </c>
      <c r="J294" s="306">
        <f t="shared" ca="1" si="130"/>
        <v>56.751579512880276</v>
      </c>
      <c r="K294" s="307">
        <f t="shared" ca="1" si="131"/>
        <v>250.89626068286705</v>
      </c>
      <c r="L294" s="304">
        <f t="shared" ca="1" si="116"/>
        <v>257.23466990639491</v>
      </c>
      <c r="M294" s="306">
        <f t="shared" ca="1" si="132"/>
        <v>1.330608257944313</v>
      </c>
      <c r="N294" s="304">
        <f t="shared" ca="1" si="133"/>
        <v>76.238237365463931</v>
      </c>
      <c r="P294" s="310">
        <f t="shared" ca="1" si="134"/>
        <v>10</v>
      </c>
      <c r="Q294" s="304">
        <f t="shared" ca="1" si="135"/>
        <v>754.77142857143099</v>
      </c>
      <c r="R294" s="306">
        <f t="shared" ca="1" si="136"/>
        <v>0.37808935816196387</v>
      </c>
      <c r="S294" s="307">
        <f t="shared" ca="1" si="137"/>
        <v>12.907580773588643</v>
      </c>
      <c r="T294" s="304">
        <f t="shared" ca="1" si="117"/>
        <v>126.6233673889046</v>
      </c>
      <c r="U294" s="311">
        <f t="shared" ca="1" si="118"/>
        <v>0</v>
      </c>
      <c r="V294" s="306">
        <f t="shared" ca="1" si="119"/>
        <v>1.1946459934039335</v>
      </c>
      <c r="W294" s="304">
        <f t="shared" ca="1" si="120"/>
        <v>77.117954825386988</v>
      </c>
      <c r="Y294" s="314" t="str">
        <f t="shared" ca="1" si="138"/>
        <v/>
      </c>
      <c r="Z294" s="315" t="str">
        <f t="shared" ca="1" si="139"/>
        <v/>
      </c>
      <c r="AA294" s="316" t="str">
        <f t="shared" ca="1" si="140"/>
        <v/>
      </c>
      <c r="AC294" s="310" t="e">
        <f t="shared" ca="1" si="141"/>
        <v>#N/A</v>
      </c>
      <c r="AD294" s="323" t="e">
        <f t="shared" ca="1" si="142"/>
        <v>#N/A</v>
      </c>
      <c r="AE294" s="324">
        <f t="shared" ca="1" si="121"/>
        <v>250.89626068286705</v>
      </c>
      <c r="AG294" s="306">
        <f t="shared" ca="1" si="143"/>
        <v>43.001266401580352</v>
      </c>
      <c r="AH294" s="304">
        <f t="shared" ca="1" si="144"/>
        <v>52.52997684362461</v>
      </c>
    </row>
    <row r="295" spans="1:34" x14ac:dyDescent="0.25">
      <c r="A295" s="347">
        <f t="shared" ca="1" si="122"/>
        <v>0.01</v>
      </c>
      <c r="B295" s="304">
        <f t="shared" ca="1" si="123"/>
        <v>2.9099999999999819</v>
      </c>
      <c r="D295" s="306">
        <f t="shared" ca="1" si="124"/>
        <v>12.467976253682018</v>
      </c>
      <c r="E295" s="307">
        <f t="shared" ca="1" si="125"/>
        <v>41.09714383748215</v>
      </c>
      <c r="F295" s="304">
        <f t="shared" ca="1" si="126"/>
        <v>42.946777102142086</v>
      </c>
      <c r="G295" s="306">
        <f t="shared" ca="1" si="127"/>
        <v>40.121518959788162</v>
      </c>
      <c r="H295" s="307">
        <f t="shared" ca="1" si="128"/>
        <v>163.71933878129573</v>
      </c>
      <c r="I295" s="304">
        <f t="shared" ca="1" si="129"/>
        <v>168.56381039424011</v>
      </c>
      <c r="J295" s="306">
        <f t="shared" ca="1" si="130"/>
        <v>57.152171303665476</v>
      </c>
      <c r="K295" s="307">
        <f t="shared" ca="1" si="131"/>
        <v>252.53139921348813</v>
      </c>
      <c r="L295" s="304">
        <f t="shared" ca="1" si="116"/>
        <v>258.91789871201576</v>
      </c>
      <c r="M295" s="306">
        <f t="shared" ca="1" si="132"/>
        <v>1.3304698145381475</v>
      </c>
      <c r="N295" s="304">
        <f t="shared" ca="1" si="133"/>
        <v>76.230305142589231</v>
      </c>
      <c r="P295" s="310">
        <f t="shared" ca="1" si="134"/>
        <v>10</v>
      </c>
      <c r="Q295" s="304">
        <f t="shared" ca="1" si="135"/>
        <v>753.42857142857383</v>
      </c>
      <c r="R295" s="306">
        <f t="shared" ca="1" si="136"/>
        <v>0.37741667769735349</v>
      </c>
      <c r="S295" s="307">
        <f t="shared" ca="1" si="137"/>
        <v>12.903806606811669</v>
      </c>
      <c r="T295" s="304">
        <f t="shared" ca="1" si="117"/>
        <v>126.58634281282248</v>
      </c>
      <c r="U295" s="311">
        <f t="shared" ca="1" si="118"/>
        <v>0</v>
      </c>
      <c r="V295" s="306">
        <f t="shared" ca="1" si="119"/>
        <v>1.1944506372622106</v>
      </c>
      <c r="W295" s="304">
        <f t="shared" ca="1" si="120"/>
        <v>77.499166033919735</v>
      </c>
      <c r="Y295" s="314" t="str">
        <f t="shared" ca="1" si="138"/>
        <v/>
      </c>
      <c r="Z295" s="315" t="str">
        <f t="shared" ca="1" si="139"/>
        <v/>
      </c>
      <c r="AA295" s="316" t="str">
        <f t="shared" ca="1" si="140"/>
        <v/>
      </c>
      <c r="AC295" s="310" t="e">
        <f t="shared" ca="1" si="141"/>
        <v>#N/A</v>
      </c>
      <c r="AD295" s="323" t="e">
        <f t="shared" ca="1" si="142"/>
        <v>#N/A</v>
      </c>
      <c r="AE295" s="324">
        <f t="shared" ca="1" si="121"/>
        <v>252.53139921348813</v>
      </c>
      <c r="AG295" s="306">
        <f t="shared" ca="1" si="143"/>
        <v>42.883326815196341</v>
      </c>
      <c r="AH295" s="304">
        <f t="shared" ca="1" si="144"/>
        <v>52.41171362923059</v>
      </c>
    </row>
    <row r="296" spans="1:34" x14ac:dyDescent="0.25">
      <c r="A296" s="347">
        <f t="shared" ca="1" si="122"/>
        <v>0.01</v>
      </c>
      <c r="B296" s="304">
        <f t="shared" ca="1" si="123"/>
        <v>2.9199999999999817</v>
      </c>
      <c r="D296" s="306">
        <f t="shared" ca="1" si="124"/>
        <v>12.446856269213201</v>
      </c>
      <c r="E296" s="307">
        <f t="shared" ca="1" si="125"/>
        <v>40.980476809808451</v>
      </c>
      <c r="F296" s="304">
        <f t="shared" ca="1" si="126"/>
        <v>42.829005481632421</v>
      </c>
      <c r="G296" s="306">
        <f t="shared" ca="1" si="127"/>
        <v>40.245987522480291</v>
      </c>
      <c r="H296" s="307">
        <f t="shared" ca="1" si="128"/>
        <v>164.12914354939383</v>
      </c>
      <c r="I296" s="304">
        <f t="shared" ca="1" si="129"/>
        <v>168.99146509193051</v>
      </c>
      <c r="J296" s="306">
        <f t="shared" ca="1" si="130"/>
        <v>57.554008836076818</v>
      </c>
      <c r="K296" s="307">
        <f t="shared" ca="1" si="131"/>
        <v>254.17064162514157</v>
      </c>
      <c r="L296" s="304">
        <f t="shared" ca="1" si="116"/>
        <v>260.60540861087162</v>
      </c>
      <c r="M296" s="306">
        <f t="shared" ca="1" si="132"/>
        <v>1.3303316434225008</v>
      </c>
      <c r="N296" s="304">
        <f t="shared" ca="1" si="133"/>
        <v>76.222388520812061</v>
      </c>
      <c r="P296" s="310">
        <f t="shared" ca="1" si="134"/>
        <v>10</v>
      </c>
      <c r="Q296" s="304">
        <f t="shared" ca="1" si="135"/>
        <v>752.08571428571679</v>
      </c>
      <c r="R296" s="306">
        <f t="shared" ca="1" si="136"/>
        <v>0.37674399723274316</v>
      </c>
      <c r="S296" s="307">
        <f t="shared" ca="1" si="137"/>
        <v>12.900039166839342</v>
      </c>
      <c r="T296" s="304">
        <f t="shared" ca="1" si="117"/>
        <v>126.54938422669395</v>
      </c>
      <c r="U296" s="311">
        <f t="shared" ca="1" si="118"/>
        <v>0</v>
      </c>
      <c r="V296" s="306">
        <f t="shared" ca="1" si="119"/>
        <v>1.1942548224758303</v>
      </c>
      <c r="W296" s="304">
        <f t="shared" ca="1" si="120"/>
        <v>77.880133739383794</v>
      </c>
      <c r="Y296" s="314" t="str">
        <f t="shared" ca="1" si="138"/>
        <v/>
      </c>
      <c r="Z296" s="315" t="str">
        <f t="shared" ca="1" si="139"/>
        <v/>
      </c>
      <c r="AA296" s="316" t="str">
        <f t="shared" ca="1" si="140"/>
        <v/>
      </c>
      <c r="AC296" s="310" t="e">
        <f t="shared" ca="1" si="141"/>
        <v>#N/A</v>
      </c>
      <c r="AD296" s="323" t="e">
        <f t="shared" ca="1" si="142"/>
        <v>#N/A</v>
      </c>
      <c r="AE296" s="324">
        <f t="shared" ca="1" si="121"/>
        <v>254.17064162514157</v>
      </c>
      <c r="AG296" s="306">
        <f t="shared" ca="1" si="143"/>
        <v>42.765308456063373</v>
      </c>
      <c r="AH296" s="304">
        <f t="shared" ca="1" si="144"/>
        <v>52.293372099666151</v>
      </c>
    </row>
    <row r="297" spans="1:34" x14ac:dyDescent="0.25">
      <c r="A297" s="347">
        <f t="shared" ca="1" si="122"/>
        <v>0.01</v>
      </c>
      <c r="B297" s="304">
        <f t="shared" ca="1" si="123"/>
        <v>2.9299999999999815</v>
      </c>
      <c r="D297" s="306">
        <f t="shared" ca="1" si="124"/>
        <v>12.425671971376298</v>
      </c>
      <c r="E297" s="307">
        <f t="shared" ca="1" si="125"/>
        <v>40.863744744082602</v>
      </c>
      <c r="F297" s="304">
        <f t="shared" ca="1" si="126"/>
        <v>42.711157306373529</v>
      </c>
      <c r="G297" s="306">
        <f t="shared" ca="1" si="127"/>
        <v>40.370244242194055</v>
      </c>
      <c r="H297" s="307">
        <f t="shared" ca="1" si="128"/>
        <v>164.53778099683467</v>
      </c>
      <c r="I297" s="304">
        <f t="shared" ca="1" si="129"/>
        <v>169.41793882448437</v>
      </c>
      <c r="J297" s="306">
        <f t="shared" ca="1" si="130"/>
        <v>57.957089994900187</v>
      </c>
      <c r="K297" s="307">
        <f t="shared" ca="1" si="131"/>
        <v>255.81397624787272</v>
      </c>
      <c r="L297" s="304">
        <f t="shared" ca="1" si="116"/>
        <v>262.29718779358683</v>
      </c>
      <c r="M297" s="306">
        <f t="shared" ca="1" si="132"/>
        <v>1.3301937424172277</v>
      </c>
      <c r="N297" s="304">
        <f t="shared" ca="1" si="133"/>
        <v>76.214487375219292</v>
      </c>
      <c r="P297" s="310">
        <f t="shared" ca="1" si="134"/>
        <v>10</v>
      </c>
      <c r="Q297" s="304">
        <f t="shared" ca="1" si="135"/>
        <v>750.74285714285963</v>
      </c>
      <c r="R297" s="306">
        <f t="shared" ca="1" si="136"/>
        <v>0.37607131676813277</v>
      </c>
      <c r="S297" s="307">
        <f t="shared" ca="1" si="137"/>
        <v>12.896278453671661</v>
      </c>
      <c r="T297" s="304">
        <f t="shared" ca="1" si="117"/>
        <v>126.51249163051899</v>
      </c>
      <c r="U297" s="311">
        <f t="shared" ca="1" si="118"/>
        <v>0</v>
      </c>
      <c r="V297" s="306">
        <f t="shared" ca="1" si="119"/>
        <v>1.1940585506688495</v>
      </c>
      <c r="W297" s="304">
        <f t="shared" ca="1" si="120"/>
        <v>78.260848659431247</v>
      </c>
      <c r="Y297" s="314" t="str">
        <f t="shared" ca="1" si="138"/>
        <v/>
      </c>
      <c r="Z297" s="315" t="str">
        <f t="shared" ca="1" si="139"/>
        <v/>
      </c>
      <c r="AA297" s="316" t="str">
        <f t="shared" ca="1" si="140"/>
        <v/>
      </c>
      <c r="AC297" s="310" t="e">
        <f t="shared" ca="1" si="141"/>
        <v>#N/A</v>
      </c>
      <c r="AD297" s="323" t="e">
        <f t="shared" ca="1" si="142"/>
        <v>#N/A</v>
      </c>
      <c r="AE297" s="324">
        <f t="shared" ca="1" si="121"/>
        <v>255.81397624787272</v>
      </c>
      <c r="AG297" s="306">
        <f t="shared" ca="1" si="143"/>
        <v>42.647212166988346</v>
      </c>
      <c r="AH297" s="304">
        <f t="shared" ca="1" si="144"/>
        <v>52.174953093689368</v>
      </c>
    </row>
    <row r="298" spans="1:34" x14ac:dyDescent="0.25">
      <c r="A298" s="347">
        <f t="shared" ca="1" si="122"/>
        <v>0.01</v>
      </c>
      <c r="B298" s="304">
        <f t="shared" ca="1" si="123"/>
        <v>2.9399999999999813</v>
      </c>
      <c r="D298" s="306">
        <f t="shared" ca="1" si="124"/>
        <v>12.404423735612767</v>
      </c>
      <c r="E298" s="307">
        <f t="shared" ca="1" si="125"/>
        <v>40.746948423635942</v>
      </c>
      <c r="F298" s="304">
        <f t="shared" ca="1" si="126"/>
        <v>42.593233430335864</v>
      </c>
      <c r="G298" s="306">
        <f t="shared" ca="1" si="127"/>
        <v>40.494288479550185</v>
      </c>
      <c r="H298" s="307">
        <f t="shared" ca="1" si="128"/>
        <v>164.94525048107104</v>
      </c>
      <c r="I298" s="304">
        <f t="shared" ca="1" si="129"/>
        <v>169.84323082103771</v>
      </c>
      <c r="J298" s="306">
        <f t="shared" ca="1" si="130"/>
        <v>58.361412658508911</v>
      </c>
      <c r="K298" s="307">
        <f t="shared" ca="1" si="131"/>
        <v>257.46139140526225</v>
      </c>
      <c r="L298" s="304">
        <f t="shared" ca="1" si="116"/>
        <v>263.99322444303453</v>
      </c>
      <c r="M298" s="306">
        <f t="shared" ca="1" si="132"/>
        <v>1.3300561093623791</v>
      </c>
      <c r="N298" s="304">
        <f t="shared" ca="1" si="133"/>
        <v>76.206601582054986</v>
      </c>
      <c r="P298" s="310">
        <f t="shared" ca="1" si="134"/>
        <v>10</v>
      </c>
      <c r="Q298" s="304">
        <f t="shared" ca="1" si="135"/>
        <v>749.40000000000248</v>
      </c>
      <c r="R298" s="306">
        <f t="shared" ca="1" si="136"/>
        <v>0.37539863630352238</v>
      </c>
      <c r="S298" s="307">
        <f t="shared" ca="1" si="137"/>
        <v>12.892524467308625</v>
      </c>
      <c r="T298" s="304">
        <f t="shared" ca="1" si="117"/>
        <v>126.47566502429763</v>
      </c>
      <c r="U298" s="311">
        <f t="shared" ca="1" si="118"/>
        <v>0</v>
      </c>
      <c r="V298" s="306">
        <f t="shared" ca="1" si="119"/>
        <v>1.1938618234656733</v>
      </c>
      <c r="W298" s="304">
        <f t="shared" ca="1" si="120"/>
        <v>78.641301543336567</v>
      </c>
      <c r="Y298" s="314" t="str">
        <f t="shared" ca="1" si="138"/>
        <v/>
      </c>
      <c r="Z298" s="315" t="str">
        <f t="shared" ca="1" si="139"/>
        <v/>
      </c>
      <c r="AA298" s="316" t="str">
        <f t="shared" ca="1" si="140"/>
        <v/>
      </c>
      <c r="AC298" s="310" t="e">
        <f t="shared" ca="1" si="141"/>
        <v>#N/A</v>
      </c>
      <c r="AD298" s="323" t="e">
        <f t="shared" ca="1" si="142"/>
        <v>#N/A</v>
      </c>
      <c r="AE298" s="324">
        <f t="shared" ca="1" si="121"/>
        <v>257.46139140526225</v>
      </c>
      <c r="AG298" s="306">
        <f t="shared" ca="1" si="143"/>
        <v>42.529038789525096</v>
      </c>
      <c r="AH298" s="304">
        <f t="shared" ca="1" si="144"/>
        <v>52.056457448839318</v>
      </c>
    </row>
    <row r="299" spans="1:34" x14ac:dyDescent="0.25">
      <c r="A299" s="347">
        <f t="shared" ca="1" si="122"/>
        <v>0.01</v>
      </c>
      <c r="B299" s="304">
        <f t="shared" ca="1" si="123"/>
        <v>2.9499999999999811</v>
      </c>
      <c r="D299" s="306">
        <f t="shared" ca="1" si="124"/>
        <v>12.383111935591526</v>
      </c>
      <c r="E299" s="307">
        <f t="shared" ca="1" si="125"/>
        <v>40.630088630839282</v>
      </c>
      <c r="F299" s="304">
        <f t="shared" ca="1" si="126"/>
        <v>42.475234706346768</v>
      </c>
      <c r="G299" s="306">
        <f t="shared" ca="1" si="127"/>
        <v>40.618119598906098</v>
      </c>
      <c r="H299" s="307">
        <f t="shared" ca="1" si="128"/>
        <v>165.35155136737944</v>
      </c>
      <c r="I299" s="304">
        <f t="shared" ca="1" si="129"/>
        <v>170.2673403191292</v>
      </c>
      <c r="J299" s="306">
        <f t="shared" ca="1" si="130"/>
        <v>58.766974698901194</v>
      </c>
      <c r="K299" s="307">
        <f t="shared" ca="1" si="131"/>
        <v>259.11287541450451</v>
      </c>
      <c r="L299" s="304">
        <f t="shared" ca="1" si="116"/>
        <v>265.69350673442102</v>
      </c>
      <c r="M299" s="306">
        <f t="shared" ca="1" si="132"/>
        <v>1.3299187421179322</v>
      </c>
      <c r="N299" s="304">
        <f t="shared" ca="1" si="133"/>
        <v>76.198731018704834</v>
      </c>
      <c r="P299" s="310">
        <f t="shared" ca="1" si="134"/>
        <v>10</v>
      </c>
      <c r="Q299" s="304">
        <f t="shared" ca="1" si="135"/>
        <v>748.05714285714544</v>
      </c>
      <c r="R299" s="306">
        <f t="shared" ca="1" si="136"/>
        <v>0.37472595583891205</v>
      </c>
      <c r="S299" s="307">
        <f t="shared" ca="1" si="137"/>
        <v>12.888777207750236</v>
      </c>
      <c r="T299" s="304">
        <f t="shared" ca="1" si="117"/>
        <v>126.43890440802981</v>
      </c>
      <c r="U299" s="311">
        <f t="shared" ca="1" si="118"/>
        <v>0</v>
      </c>
      <c r="V299" s="306">
        <f t="shared" ca="1" si="119"/>
        <v>1.193664642491038</v>
      </c>
      <c r="W299" s="304">
        <f t="shared" ca="1" si="120"/>
        <v>79.021483172145395</v>
      </c>
      <c r="Y299" s="314" t="str">
        <f t="shared" ca="1" si="138"/>
        <v/>
      </c>
      <c r="Z299" s="315" t="str">
        <f t="shared" ca="1" si="139"/>
        <v/>
      </c>
      <c r="AA299" s="316" t="str">
        <f t="shared" ca="1" si="140"/>
        <v/>
      </c>
      <c r="AC299" s="310" t="e">
        <f t="shared" ca="1" si="141"/>
        <v>#N/A</v>
      </c>
      <c r="AD299" s="323" t="e">
        <f t="shared" ca="1" si="142"/>
        <v>#N/A</v>
      </c>
      <c r="AE299" s="324">
        <f t="shared" ca="1" si="121"/>
        <v>259.11287541450451</v>
      </c>
      <c r="AG299" s="306">
        <f t="shared" ca="1" si="143"/>
        <v>42.410789163956956</v>
      </c>
      <c r="AH299" s="304">
        <f t="shared" ca="1" si="144"/>
        <v>51.937886001418192</v>
      </c>
    </row>
    <row r="300" spans="1:34" x14ac:dyDescent="0.25">
      <c r="A300" s="347">
        <f t="shared" ca="1" si="122"/>
        <v>0.01</v>
      </c>
      <c r="B300" s="304">
        <f t="shared" ca="1" si="123"/>
        <v>2.9599999999999809</v>
      </c>
      <c r="D300" s="306">
        <f t="shared" ca="1" si="124"/>
        <v>12.361736943225658</v>
      </c>
      <c r="E300" s="307">
        <f t="shared" ca="1" si="125"/>
        <v>40.513166147082259</v>
      </c>
      <c r="F300" s="304">
        <f t="shared" ca="1" si="126"/>
        <v>42.357161986075056</v>
      </c>
      <c r="G300" s="306">
        <f t="shared" ca="1" si="127"/>
        <v>40.741736968338351</v>
      </c>
      <c r="H300" s="307">
        <f t="shared" ca="1" si="128"/>
        <v>165.75668302885026</v>
      </c>
      <c r="I300" s="304">
        <f t="shared" ca="1" si="129"/>
        <v>170.69026656468731</v>
      </c>
      <c r="J300" s="306">
        <f t="shared" ca="1" si="130"/>
        <v>59.173773981737419</v>
      </c>
      <c r="K300" s="307">
        <f t="shared" ca="1" si="131"/>
        <v>260.76841658648567</v>
      </c>
      <c r="L300" s="304">
        <f t="shared" ca="1" si="116"/>
        <v>267.39802283536932</v>
      </c>
      <c r="M300" s="306">
        <f t="shared" ca="1" si="132"/>
        <v>1.329781638563527</v>
      </c>
      <c r="N300" s="304">
        <f t="shared" ca="1" si="133"/>
        <v>76.190875563681175</v>
      </c>
      <c r="P300" s="310">
        <f t="shared" ca="1" si="134"/>
        <v>10</v>
      </c>
      <c r="Q300" s="304">
        <f t="shared" ca="1" si="135"/>
        <v>746.71428571428828</v>
      </c>
      <c r="R300" s="306">
        <f t="shared" ca="1" si="136"/>
        <v>0.37405327537430166</v>
      </c>
      <c r="S300" s="307">
        <f t="shared" ca="1" si="137"/>
        <v>12.885036674996492</v>
      </c>
      <c r="T300" s="304">
        <f t="shared" ca="1" si="117"/>
        <v>126.4022097817156</v>
      </c>
      <c r="U300" s="311">
        <f t="shared" ca="1" si="118"/>
        <v>0</v>
      </c>
      <c r="V300" s="306">
        <f t="shared" ca="1" si="119"/>
        <v>1.1934670093699968</v>
      </c>
      <c r="W300" s="304">
        <f t="shared" ca="1" si="120"/>
        <v>79.401384358821872</v>
      </c>
      <c r="Y300" s="314" t="str">
        <f t="shared" ca="1" si="138"/>
        <v/>
      </c>
      <c r="Z300" s="315" t="str">
        <f t="shared" ca="1" si="139"/>
        <v/>
      </c>
      <c r="AA300" s="316" t="str">
        <f t="shared" ca="1" si="140"/>
        <v/>
      </c>
      <c r="AC300" s="310" t="e">
        <f t="shared" ca="1" si="141"/>
        <v>#N/A</v>
      </c>
      <c r="AD300" s="323" t="e">
        <f t="shared" ca="1" si="142"/>
        <v>#N/A</v>
      </c>
      <c r="AE300" s="324">
        <f t="shared" ca="1" si="121"/>
        <v>260.76841658648567</v>
      </c>
      <c r="AG300" s="306">
        <f t="shared" ca="1" si="143"/>
        <v>42.292464129279551</v>
      </c>
      <c r="AH300" s="304">
        <f t="shared" ca="1" si="144"/>
        <v>51.819239586473635</v>
      </c>
    </row>
    <row r="301" spans="1:34" x14ac:dyDescent="0.25">
      <c r="A301" s="347">
        <f t="shared" ca="1" si="122"/>
        <v>0.01</v>
      </c>
      <c r="B301" s="304">
        <f t="shared" ca="1" si="123"/>
        <v>2.9699999999999807</v>
      </c>
      <c r="D301" s="306">
        <f t="shared" ca="1" si="124"/>
        <v>12.340299128688667</v>
      </c>
      <c r="E301" s="307">
        <f t="shared" ca="1" si="125"/>
        <v>40.396181752752845</v>
      </c>
      <c r="F301" s="304">
        <f t="shared" ca="1" si="126"/>
        <v>42.239016120015819</v>
      </c>
      <c r="G301" s="306">
        <f t="shared" ca="1" si="127"/>
        <v>40.865139959625239</v>
      </c>
      <c r="H301" s="307">
        <f t="shared" ca="1" si="128"/>
        <v>166.16064484637778</v>
      </c>
      <c r="I301" s="304">
        <f t="shared" ca="1" si="129"/>
        <v>171.11200881201719</v>
      </c>
      <c r="J301" s="306">
        <f t="shared" ca="1" si="130"/>
        <v>59.581808366377238</v>
      </c>
      <c r="K301" s="307">
        <f t="shared" ca="1" si="131"/>
        <v>262.4280032258618</v>
      </c>
      <c r="L301" s="304">
        <f t="shared" ca="1" si="116"/>
        <v>269.10676090600293</v>
      </c>
      <c r="M301" s="306">
        <f t="shared" ca="1" si="132"/>
        <v>1.3296447965982057</v>
      </c>
      <c r="N301" s="304">
        <f t="shared" ca="1" si="133"/>
        <v>76.183035096607981</v>
      </c>
      <c r="P301" s="310">
        <f t="shared" ca="1" si="134"/>
        <v>10</v>
      </c>
      <c r="Q301" s="304">
        <f t="shared" ca="1" si="135"/>
        <v>745.37142857143112</v>
      </c>
      <c r="R301" s="306">
        <f t="shared" ca="1" si="136"/>
        <v>0.37338059490969128</v>
      </c>
      <c r="S301" s="307">
        <f t="shared" ca="1" si="137"/>
        <v>12.881302869047396</v>
      </c>
      <c r="T301" s="304">
        <f t="shared" ca="1" si="117"/>
        <v>126.36558114535495</v>
      </c>
      <c r="U301" s="311">
        <f t="shared" ca="1" si="118"/>
        <v>0</v>
      </c>
      <c r="V301" s="306">
        <f t="shared" ca="1" si="119"/>
        <v>1.1932689257279039</v>
      </c>
      <c r="W301" s="304">
        <f t="shared" ca="1" si="120"/>
        <v>79.780995948394221</v>
      </c>
      <c r="Y301" s="314" t="str">
        <f t="shared" ca="1" si="138"/>
        <v/>
      </c>
      <c r="Z301" s="315" t="str">
        <f t="shared" ca="1" si="139"/>
        <v/>
      </c>
      <c r="AA301" s="316" t="str">
        <f t="shared" ca="1" si="140"/>
        <v/>
      </c>
      <c r="AC301" s="310" t="e">
        <f t="shared" ca="1" si="141"/>
        <v>#N/A</v>
      </c>
      <c r="AD301" s="323" t="e">
        <f t="shared" ca="1" si="142"/>
        <v>#N/A</v>
      </c>
      <c r="AE301" s="324">
        <f t="shared" ca="1" si="121"/>
        <v>262.4280032258618</v>
      </c>
      <c r="AG301" s="306">
        <f t="shared" ca="1" si="143"/>
        <v>42.174064523183581</v>
      </c>
      <c r="AH301" s="304">
        <f t="shared" ca="1" si="144"/>
        <v>51.700519037781113</v>
      </c>
    </row>
    <row r="302" spans="1:34" x14ac:dyDescent="0.25">
      <c r="A302" s="347">
        <f t="shared" ca="1" si="122"/>
        <v>0.01</v>
      </c>
      <c r="B302" s="304">
        <f t="shared" ca="1" si="123"/>
        <v>2.9799999999999804</v>
      </c>
      <c r="D302" s="306">
        <f t="shared" ca="1" si="124"/>
        <v>12.318798860430496</v>
      </c>
      <c r="E302" s="307">
        <f t="shared" ca="1" si="125"/>
        <v>40.279136227216959</v>
      </c>
      <c r="F302" s="304">
        <f t="shared" ca="1" si="126"/>
        <v>42.120797957475183</v>
      </c>
      <c r="G302" s="306">
        <f t="shared" ca="1" si="127"/>
        <v>40.988327948229546</v>
      </c>
      <c r="H302" s="307">
        <f t="shared" ca="1" si="128"/>
        <v>166.56343620864996</v>
      </c>
      <c r="I302" s="304">
        <f t="shared" ca="1" si="129"/>
        <v>171.53256632378768</v>
      </c>
      <c r="J302" s="306">
        <f t="shared" ca="1" si="130"/>
        <v>59.991075705916515</v>
      </c>
      <c r="K302" s="307">
        <f t="shared" ca="1" si="131"/>
        <v>264.09162363113694</v>
      </c>
      <c r="L302" s="304">
        <f t="shared" ca="1" si="116"/>
        <v>270.81970909902975</v>
      </c>
      <c r="M302" s="306">
        <f t="shared" ca="1" si="132"/>
        <v>1.3295082141401564</v>
      </c>
      <c r="N302" s="304">
        <f t="shared" ca="1" si="133"/>
        <v>76.175209498206243</v>
      </c>
      <c r="P302" s="310">
        <f t="shared" ca="1" si="134"/>
        <v>10</v>
      </c>
      <c r="Q302" s="304">
        <f t="shared" ca="1" si="135"/>
        <v>744.02857142857408</v>
      </c>
      <c r="R302" s="306">
        <f t="shared" ca="1" si="136"/>
        <v>0.372707914445081</v>
      </c>
      <c r="S302" s="307">
        <f t="shared" ca="1" si="137"/>
        <v>12.877575789902945</v>
      </c>
      <c r="T302" s="304">
        <f t="shared" ca="1" si="117"/>
        <v>126.3290184989479</v>
      </c>
      <c r="U302" s="311">
        <f t="shared" ca="1" si="118"/>
        <v>0</v>
      </c>
      <c r="V302" s="306">
        <f t="shared" ca="1" si="119"/>
        <v>1.1930703931903981</v>
      </c>
      <c r="W302" s="304">
        <f t="shared" ca="1" si="120"/>
        <v>80.160308818098656</v>
      </c>
      <c r="Y302" s="314" t="str">
        <f t="shared" ca="1" si="138"/>
        <v/>
      </c>
      <c r="Z302" s="315" t="str">
        <f t="shared" ca="1" si="139"/>
        <v/>
      </c>
      <c r="AA302" s="316" t="str">
        <f t="shared" ca="1" si="140"/>
        <v/>
      </c>
      <c r="AC302" s="310" t="e">
        <f t="shared" ca="1" si="141"/>
        <v>#N/A</v>
      </c>
      <c r="AD302" s="323" t="e">
        <f t="shared" ca="1" si="142"/>
        <v>#N/A</v>
      </c>
      <c r="AE302" s="324">
        <f t="shared" ca="1" si="121"/>
        <v>264.09162363113694</v>
      </c>
      <c r="AG302" s="306">
        <f t="shared" ca="1" si="143"/>
        <v>42.055591182037716</v>
      </c>
      <c r="AH302" s="304">
        <f t="shared" ca="1" si="144"/>
        <v>51.581725187826379</v>
      </c>
    </row>
    <row r="303" spans="1:34" x14ac:dyDescent="0.25">
      <c r="A303" s="347">
        <f t="shared" ca="1" si="122"/>
        <v>0.01</v>
      </c>
      <c r="B303" s="304">
        <f t="shared" ca="1" si="123"/>
        <v>2.9899999999999802</v>
      </c>
      <c r="D303" s="306">
        <f t="shared" ca="1" si="124"/>
        <v>12.297236505193174</v>
      </c>
      <c r="E303" s="307">
        <f t="shared" ca="1" si="125"/>
        <v>40.162030348798318</v>
      </c>
      <c r="F303" s="304">
        <f t="shared" ca="1" si="126"/>
        <v>42.002508346555359</v>
      </c>
      <c r="G303" s="306">
        <f t="shared" ca="1" si="127"/>
        <v>41.111300313281475</v>
      </c>
      <c r="H303" s="307">
        <f t="shared" ca="1" si="128"/>
        <v>166.96505651213795</v>
      </c>
      <c r="I303" s="304">
        <f t="shared" ca="1" si="129"/>
        <v>171.9519383710176</v>
      </c>
      <c r="J303" s="306">
        <f t="shared" ca="1" si="130"/>
        <v>60.401573847224071</v>
      </c>
      <c r="K303" s="307">
        <f t="shared" ca="1" si="131"/>
        <v>265.75926609474089</v>
      </c>
      <c r="L303" s="304">
        <f t="shared" ca="1" si="116"/>
        <v>272.53685555982509</v>
      </c>
      <c r="M303" s="306">
        <f t="shared" ca="1" si="132"/>
        <v>1.3293718891264621</v>
      </c>
      <c r="N303" s="304">
        <f t="shared" ca="1" si="133"/>
        <v>76.167398650279495</v>
      </c>
      <c r="P303" s="310">
        <f t="shared" ca="1" si="134"/>
        <v>10</v>
      </c>
      <c r="Q303" s="304">
        <f t="shared" ca="1" si="135"/>
        <v>742.68571428571693</v>
      </c>
      <c r="R303" s="306">
        <f t="shared" ca="1" si="136"/>
        <v>0.37203523398047061</v>
      </c>
      <c r="S303" s="307">
        <f t="shared" ca="1" si="137"/>
        <v>12.87385543756314</v>
      </c>
      <c r="T303" s="304">
        <f t="shared" ca="1" si="117"/>
        <v>126.29252184249441</v>
      </c>
      <c r="U303" s="311">
        <f t="shared" ca="1" si="118"/>
        <v>0</v>
      </c>
      <c r="V303" s="306">
        <f t="shared" ca="1" si="119"/>
        <v>1.1928714133833889</v>
      </c>
      <c r="W303" s="304">
        <f t="shared" ca="1" si="120"/>
        <v>80.53931387752165</v>
      </c>
      <c r="Y303" s="314" t="str">
        <f t="shared" ca="1" si="138"/>
        <v/>
      </c>
      <c r="Z303" s="315" t="str">
        <f t="shared" ca="1" si="139"/>
        <v/>
      </c>
      <c r="AA303" s="316" t="str">
        <f t="shared" ca="1" si="140"/>
        <v/>
      </c>
      <c r="AC303" s="310" t="e">
        <f t="shared" ca="1" si="141"/>
        <v>#N/A</v>
      </c>
      <c r="AD303" s="323" t="e">
        <f t="shared" ca="1" si="142"/>
        <v>#N/A</v>
      </c>
      <c r="AE303" s="324">
        <f t="shared" ca="1" si="121"/>
        <v>265.75926609474089</v>
      </c>
      <c r="AG303" s="306">
        <f t="shared" ca="1" si="143"/>
        <v>41.937044940871651</v>
      </c>
      <c r="AH303" s="304">
        <f t="shared" ca="1" si="144"/>
        <v>51.4628588677881</v>
      </c>
    </row>
    <row r="304" spans="1:34" x14ac:dyDescent="0.25">
      <c r="A304" s="347">
        <f t="shared" ca="1" si="122"/>
        <v>0.01</v>
      </c>
      <c r="B304" s="304">
        <f t="shared" ca="1" si="123"/>
        <v>2.99999999999998</v>
      </c>
      <c r="D304" s="306">
        <f t="shared" ca="1" si="124"/>
        <v>12.27561242802615</v>
      </c>
      <c r="E304" s="307">
        <f t="shared" ca="1" si="125"/>
        <v>40.044864894758447</v>
      </c>
      <c r="F304" s="304">
        <f t="shared" ca="1" si="126"/>
        <v>41.884148134139814</v>
      </c>
      <c r="G304" s="306">
        <f t="shared" ca="1" si="127"/>
        <v>41.234056437561733</v>
      </c>
      <c r="H304" s="307">
        <f t="shared" ca="1" si="128"/>
        <v>167.36550516108554</v>
      </c>
      <c r="I304" s="304">
        <f t="shared" ca="1" si="129"/>
        <v>172.37012423306243</v>
      </c>
      <c r="J304" s="306">
        <f t="shared" ca="1" si="130"/>
        <v>60.81330063097829</v>
      </c>
      <c r="K304" s="307">
        <f t="shared" ca="1" si="131"/>
        <v>267.430918903107</v>
      </c>
      <c r="L304" s="304">
        <f t="shared" ca="1" si="116"/>
        <v>274.25818842651523</v>
      </c>
      <c r="M304" s="306">
        <f t="shared" ca="1" si="132"/>
        <v>1.3292358195128526</v>
      </c>
      <c r="N304" s="304">
        <f t="shared" ca="1" si="133"/>
        <v>76.159602435699696</v>
      </c>
      <c r="P304" s="310">
        <f t="shared" ca="1" si="134"/>
        <v>10</v>
      </c>
      <c r="Q304" s="304">
        <f t="shared" ca="1" si="135"/>
        <v>741.34285714285988</v>
      </c>
      <c r="R304" s="306">
        <f t="shared" ca="1" si="136"/>
        <v>0.37136255351586028</v>
      </c>
      <c r="S304" s="307">
        <f t="shared" ca="1" si="137"/>
        <v>12.870141812027981</v>
      </c>
      <c r="T304" s="304">
        <f t="shared" ca="1" si="117"/>
        <v>126.2560911759945</v>
      </c>
      <c r="U304" s="311">
        <f t="shared" ca="1" si="118"/>
        <v>0</v>
      </c>
      <c r="V304" s="306">
        <f t="shared" ca="1" si="119"/>
        <v>1.1926719879330383</v>
      </c>
      <c r="W304" s="304">
        <f t="shared" ca="1" si="120"/>
        <v>80.918002068740449</v>
      </c>
      <c r="Y304" s="314" t="str">
        <f t="shared" ca="1" si="138"/>
        <v/>
      </c>
      <c r="Z304" s="315" t="str">
        <f t="shared" ca="1" si="139"/>
        <v/>
      </c>
      <c r="AA304" s="316" t="str">
        <f t="shared" ca="1" si="140"/>
        <v/>
      </c>
      <c r="AC304" s="310">
        <f t="shared" ca="1" si="141"/>
        <v>2.99999999999998</v>
      </c>
      <c r="AD304" s="323">
        <f t="shared" ca="1" si="142"/>
        <v>60.81330063097829</v>
      </c>
      <c r="AE304" s="324">
        <f t="shared" ca="1" si="121"/>
        <v>267.430918903107</v>
      </c>
      <c r="AG304" s="306">
        <f t="shared" ca="1" si="143"/>
        <v>41.81842663335923</v>
      </c>
      <c r="AH304" s="304">
        <f t="shared" ca="1" si="144"/>
        <v>51.343920907520577</v>
      </c>
    </row>
    <row r="305" spans="1:34" x14ac:dyDescent="0.25">
      <c r="A305" s="347">
        <f t="shared" ca="1" si="122"/>
        <v>0.01</v>
      </c>
      <c r="B305" s="304">
        <f t="shared" ca="1" si="123"/>
        <v>3.0099999999999798</v>
      </c>
      <c r="D305" s="306">
        <f t="shared" ca="1" si="124"/>
        <v>12.253926992301309</v>
      </c>
      <c r="E305" s="307">
        <f t="shared" ca="1" si="125"/>
        <v>39.927640641276774</v>
      </c>
      <c r="F305" s="304">
        <f t="shared" ca="1" si="126"/>
        <v>41.765718165878432</v>
      </c>
      <c r="G305" s="306">
        <f t="shared" ca="1" si="127"/>
        <v>41.356595707484743</v>
      </c>
      <c r="H305" s="307">
        <f t="shared" ca="1" si="128"/>
        <v>167.76478156749832</v>
      </c>
      <c r="I305" s="304">
        <f t="shared" ca="1" si="129"/>
        <v>172.78712319760049</v>
      </c>
      <c r="J305" s="306">
        <f t="shared" ca="1" si="130"/>
        <v>61.226253891703522</v>
      </c>
      <c r="K305" s="307">
        <f t="shared" ca="1" si="131"/>
        <v>269.10657033674994</v>
      </c>
      <c r="L305" s="304">
        <f t="shared" ca="1" si="116"/>
        <v>275.9836958300607</v>
      </c>
      <c r="M305" s="306">
        <f t="shared" ca="1" si="132"/>
        <v>1.3291000032734606</v>
      </c>
      <c r="N305" s="304">
        <f t="shared" ca="1" si="133"/>
        <v>76.151820738393184</v>
      </c>
      <c r="P305" s="310">
        <f t="shared" ca="1" si="134"/>
        <v>10</v>
      </c>
      <c r="Q305" s="304">
        <f t="shared" ca="1" si="135"/>
        <v>740.00000000000273</v>
      </c>
      <c r="R305" s="306">
        <f t="shared" ca="1" si="136"/>
        <v>0.3706898730512499</v>
      </c>
      <c r="S305" s="307">
        <f t="shared" ca="1" si="137"/>
        <v>12.866434913297468</v>
      </c>
      <c r="T305" s="304">
        <f t="shared" ca="1" si="117"/>
        <v>126.21972649944817</v>
      </c>
      <c r="U305" s="311">
        <f t="shared" ca="1" si="118"/>
        <v>0</v>
      </c>
      <c r="V305" s="306">
        <f t="shared" ca="1" si="119"/>
        <v>1.1924721184657485</v>
      </c>
      <c r="W305" s="304">
        <f t="shared" ca="1" si="120"/>
        <v>81.296364366462129</v>
      </c>
      <c r="Y305" s="314" t="str">
        <f t="shared" ca="1" si="138"/>
        <v/>
      </c>
      <c r="Z305" s="315" t="str">
        <f t="shared" ca="1" si="139"/>
        <v/>
      </c>
      <c r="AA305" s="316" t="str">
        <f t="shared" ca="1" si="140"/>
        <v/>
      </c>
      <c r="AC305" s="310" t="e">
        <f t="shared" ca="1" si="141"/>
        <v>#N/A</v>
      </c>
      <c r="AD305" s="323" t="e">
        <f t="shared" ca="1" si="142"/>
        <v>#N/A</v>
      </c>
      <c r="AE305" s="324">
        <f t="shared" ca="1" si="121"/>
        <v>269.10657033674994</v>
      </c>
      <c r="AG305" s="306">
        <f t="shared" ca="1" si="143"/>
        <v>41.699737091801637</v>
      </c>
      <c r="AH305" s="304">
        <f t="shared" ca="1" si="144"/>
        <v>51.224912135536528</v>
      </c>
    </row>
    <row r="306" spans="1:34" x14ac:dyDescent="0.25">
      <c r="A306" s="347">
        <f t="shared" ca="1" si="122"/>
        <v>0.01</v>
      </c>
      <c r="B306" s="304">
        <f t="shared" ca="1" si="123"/>
        <v>3.0199999999999796</v>
      </c>
      <c r="D306" s="306">
        <f t="shared" ca="1" si="124"/>
        <v>12.232180559727729</v>
      </c>
      <c r="E306" s="307">
        <f t="shared" ca="1" si="125"/>
        <v>39.810358363430929</v>
      </c>
      <c r="F306" s="304">
        <f t="shared" ca="1" si="126"/>
        <v>41.647219286172948</v>
      </c>
      <c r="G306" s="306">
        <f t="shared" ca="1" si="127"/>
        <v>41.478917513082024</v>
      </c>
      <c r="H306" s="307">
        <f t="shared" ca="1" si="128"/>
        <v>168.16288515113263</v>
      </c>
      <c r="I306" s="304">
        <f t="shared" ca="1" si="129"/>
        <v>173.20293456061904</v>
      </c>
      <c r="J306" s="306">
        <f t="shared" ca="1" si="130"/>
        <v>61.640431457806358</v>
      </c>
      <c r="K306" s="307">
        <f t="shared" ca="1" si="131"/>
        <v>270.78620867034311</v>
      </c>
      <c r="L306" s="304">
        <f t="shared" ca="1" si="116"/>
        <v>277.71336589433923</v>
      </c>
      <c r="M306" s="306">
        <f t="shared" ca="1" si="132"/>
        <v>1.3289644384005819</v>
      </c>
      <c r="N306" s="304">
        <f t="shared" ca="1" si="133"/>
        <v>76.14405344332701</v>
      </c>
      <c r="P306" s="310">
        <f t="shared" ca="1" si="134"/>
        <v>10</v>
      </c>
      <c r="Q306" s="304">
        <f t="shared" ca="1" si="135"/>
        <v>738.65714285714557</v>
      </c>
      <c r="R306" s="306">
        <f t="shared" ca="1" si="136"/>
        <v>0.37001719258663951</v>
      </c>
      <c r="S306" s="307">
        <f t="shared" ca="1" si="137"/>
        <v>12.862734741371602</v>
      </c>
      <c r="T306" s="304">
        <f t="shared" ca="1" si="117"/>
        <v>126.18342781285543</v>
      </c>
      <c r="U306" s="311">
        <f t="shared" ca="1" si="118"/>
        <v>0</v>
      </c>
      <c r="V306" s="306">
        <f t="shared" ca="1" si="119"/>
        <v>1.1922718066081437</v>
      </c>
      <c r="W306" s="304">
        <f t="shared" ca="1" si="120"/>
        <v>81.674391778160796</v>
      </c>
      <c r="Y306" s="314" t="str">
        <f t="shared" ca="1" si="138"/>
        <v/>
      </c>
      <c r="Z306" s="315" t="str">
        <f t="shared" ca="1" si="139"/>
        <v/>
      </c>
      <c r="AA306" s="316" t="str">
        <f t="shared" ca="1" si="140"/>
        <v/>
      </c>
      <c r="AC306" s="310" t="e">
        <f t="shared" ca="1" si="141"/>
        <v>#N/A</v>
      </c>
      <c r="AD306" s="323" t="e">
        <f t="shared" ca="1" si="142"/>
        <v>#N/A</v>
      </c>
      <c r="AE306" s="324">
        <f t="shared" ca="1" si="121"/>
        <v>270.78620867034311</v>
      </c>
      <c r="AG306" s="306">
        <f t="shared" ca="1" si="143"/>
        <v>41.580977147110737</v>
      </c>
      <c r="AH306" s="304">
        <f t="shared" ca="1" si="144"/>
        <v>51.10583337899002</v>
      </c>
    </row>
    <row r="307" spans="1:34" x14ac:dyDescent="0.25">
      <c r="A307" s="347">
        <f t="shared" ca="1" si="122"/>
        <v>0.01</v>
      </c>
      <c r="B307" s="304">
        <f t="shared" ca="1" si="123"/>
        <v>3.0299999999999794</v>
      </c>
      <c r="D307" s="306">
        <f t="shared" ca="1" si="124"/>
        <v>12.210373490366083</v>
      </c>
      <c r="E307" s="307">
        <f t="shared" ca="1" si="125"/>
        <v>39.693018835177327</v>
      </c>
      <c r="F307" s="304">
        <f t="shared" ca="1" si="126"/>
        <v>41.528652338162587</v>
      </c>
      <c r="G307" s="306">
        <f t="shared" ca="1" si="127"/>
        <v>41.601021247985685</v>
      </c>
      <c r="H307" s="307">
        <f t="shared" ca="1" si="128"/>
        <v>168.5598153394844</v>
      </c>
      <c r="I307" s="304">
        <f t="shared" ca="1" si="129"/>
        <v>173.61755762640033</v>
      </c>
      <c r="J307" s="306">
        <f t="shared" ca="1" si="130"/>
        <v>62.055831151611699</v>
      </c>
      <c r="K307" s="307">
        <f t="shared" ca="1" si="131"/>
        <v>272.46982217279623</v>
      </c>
      <c r="L307" s="304">
        <f t="shared" ca="1" si="116"/>
        <v>279.44718673622845</v>
      </c>
      <c r="M307" s="306">
        <f t="shared" ca="1" si="132"/>
        <v>1.32882912290444</v>
      </c>
      <c r="N307" s="304">
        <f t="shared" ca="1" si="133"/>
        <v>76.136300436495361</v>
      </c>
      <c r="P307" s="310">
        <f t="shared" ca="1" si="134"/>
        <v>10</v>
      </c>
      <c r="Q307" s="304">
        <f t="shared" ca="1" si="135"/>
        <v>737.31428571428853</v>
      </c>
      <c r="R307" s="306">
        <f t="shared" ca="1" si="136"/>
        <v>0.36934451212202918</v>
      </c>
      <c r="S307" s="307">
        <f t="shared" ca="1" si="137"/>
        <v>12.859041296250382</v>
      </c>
      <c r="T307" s="304">
        <f t="shared" ca="1" si="117"/>
        <v>126.14719511621625</v>
      </c>
      <c r="U307" s="311">
        <f t="shared" ca="1" si="118"/>
        <v>0</v>
      </c>
      <c r="V307" s="306">
        <f t="shared" ca="1" si="119"/>
        <v>1.1920710539870569</v>
      </c>
      <c r="W307" s="304">
        <f t="shared" ca="1" si="120"/>
        <v>82.05207534421335</v>
      </c>
      <c r="Y307" s="314" t="str">
        <f t="shared" ca="1" si="138"/>
        <v/>
      </c>
      <c r="Z307" s="315" t="str">
        <f t="shared" ca="1" si="139"/>
        <v/>
      </c>
      <c r="AA307" s="316" t="str">
        <f t="shared" ca="1" si="140"/>
        <v/>
      </c>
      <c r="AC307" s="310" t="e">
        <f t="shared" ca="1" si="141"/>
        <v>#N/A</v>
      </c>
      <c r="AD307" s="323" t="e">
        <f t="shared" ca="1" si="142"/>
        <v>#N/A</v>
      </c>
      <c r="AE307" s="324">
        <f t="shared" ca="1" si="121"/>
        <v>272.46982217279623</v>
      </c>
      <c r="AG307" s="306">
        <f t="shared" ca="1" si="143"/>
        <v>41.462147628792579</v>
      </c>
      <c r="AH307" s="304">
        <f t="shared" ca="1" si="144"/>
        <v>50.98668546365959</v>
      </c>
    </row>
    <row r="308" spans="1:34" x14ac:dyDescent="0.25">
      <c r="A308" s="347">
        <f t="shared" ca="1" si="122"/>
        <v>0.01</v>
      </c>
      <c r="B308" s="304">
        <f t="shared" ca="1" si="123"/>
        <v>3.0399999999999792</v>
      </c>
      <c r="D308" s="306">
        <f t="shared" ca="1" si="124"/>
        <v>12.188506142642751</v>
      </c>
      <c r="E308" s="307">
        <f t="shared" ca="1" si="125"/>
        <v>39.575622829331643</v>
      </c>
      <c r="F308" s="304">
        <f t="shared" ca="1" si="126"/>
        <v>41.410018163709566</v>
      </c>
      <c r="G308" s="306">
        <f t="shared" ca="1" si="127"/>
        <v>41.72290630941211</v>
      </c>
      <c r="H308" s="307">
        <f t="shared" ca="1" si="128"/>
        <v>168.95557156777772</v>
      </c>
      <c r="I308" s="304">
        <f t="shared" ca="1" si="129"/>
        <v>174.03099170750721</v>
      </c>
      <c r="J308" s="306">
        <f t="shared" ca="1" si="130"/>
        <v>62.472450789398685</v>
      </c>
      <c r="K308" s="307">
        <f t="shared" ca="1" si="131"/>
        <v>274.15739910733254</v>
      </c>
      <c r="L308" s="304">
        <f t="shared" ca="1" si="116"/>
        <v>281.18514646568912</v>
      </c>
      <c r="M308" s="306">
        <f t="shared" ca="1" si="132"/>
        <v>1.3286940548129538</v>
      </c>
      <c r="N308" s="304">
        <f t="shared" ca="1" si="133"/>
        <v>76.128561604906324</v>
      </c>
      <c r="P308" s="310">
        <f t="shared" ca="1" si="134"/>
        <v>10</v>
      </c>
      <c r="Q308" s="304">
        <f t="shared" ca="1" si="135"/>
        <v>735.97142857143137</v>
      </c>
      <c r="R308" s="306">
        <f t="shared" ca="1" si="136"/>
        <v>0.36867183165741879</v>
      </c>
      <c r="S308" s="307">
        <f t="shared" ca="1" si="137"/>
        <v>12.855354577933808</v>
      </c>
      <c r="T308" s="304">
        <f t="shared" ca="1" si="117"/>
        <v>126.11102840953066</v>
      </c>
      <c r="U308" s="311">
        <f t="shared" ca="1" si="118"/>
        <v>0</v>
      </c>
      <c r="V308" s="306">
        <f t="shared" ca="1" si="119"/>
        <v>1.1918698622295132</v>
      </c>
      <c r="W308" s="304">
        <f t="shared" ca="1" si="120"/>
        <v>82.429406138033329</v>
      </c>
      <c r="Y308" s="314" t="str">
        <f t="shared" ca="1" si="138"/>
        <v/>
      </c>
      <c r="Z308" s="315" t="str">
        <f t="shared" ca="1" si="139"/>
        <v/>
      </c>
      <c r="AA308" s="316" t="str">
        <f t="shared" ca="1" si="140"/>
        <v/>
      </c>
      <c r="AC308" s="310" t="e">
        <f t="shared" ca="1" si="141"/>
        <v>#N/A</v>
      </c>
      <c r="AD308" s="323" t="e">
        <f t="shared" ca="1" si="142"/>
        <v>#N/A</v>
      </c>
      <c r="AE308" s="324">
        <f t="shared" ca="1" si="121"/>
        <v>274.15739910733254</v>
      </c>
      <c r="AG308" s="306">
        <f t="shared" ca="1" si="143"/>
        <v>41.343249364930792</v>
      </c>
      <c r="AH308" s="304">
        <f t="shared" ca="1" si="144"/>
        <v>50.867469213931244</v>
      </c>
    </row>
    <row r="309" spans="1:34" x14ac:dyDescent="0.25">
      <c r="A309" s="347">
        <f t="shared" ca="1" si="122"/>
        <v>0.01</v>
      </c>
      <c r="B309" s="304">
        <f t="shared" ca="1" si="123"/>
        <v>3.049999999999979</v>
      </c>
      <c r="D309" s="306">
        <f t="shared" ca="1" si="124"/>
        <v>12.166578873363681</v>
      </c>
      <c r="E309" s="307">
        <f t="shared" ca="1" si="125"/>
        <v>39.458171117549703</v>
      </c>
      <c r="F309" s="304">
        <f t="shared" ca="1" si="126"/>
        <v>41.291317603385011</v>
      </c>
      <c r="G309" s="306">
        <f t="shared" ca="1" si="127"/>
        <v>41.844572098145747</v>
      </c>
      <c r="H309" s="307">
        <f t="shared" ca="1" si="128"/>
        <v>169.35015327895323</v>
      </c>
      <c r="I309" s="304">
        <f t="shared" ca="1" si="129"/>
        <v>174.44323612476887</v>
      </c>
      <c r="J309" s="306">
        <f t="shared" ca="1" si="130"/>
        <v>62.890288181436475</v>
      </c>
      <c r="K309" s="307">
        <f t="shared" ca="1" si="131"/>
        <v>275.84892773156616</v>
      </c>
      <c r="L309" s="304">
        <f t="shared" ca="1" si="116"/>
        <v>282.92723318584751</v>
      </c>
      <c r="M309" s="306">
        <f t="shared" ca="1" si="132"/>
        <v>1.3285592321715078</v>
      </c>
      <c r="N309" s="304">
        <f t="shared" ca="1" si="133"/>
        <v>76.120836836568657</v>
      </c>
      <c r="P309" s="310">
        <f t="shared" ca="1" si="134"/>
        <v>10</v>
      </c>
      <c r="Q309" s="304">
        <f t="shared" ca="1" si="135"/>
        <v>734.62857142857422</v>
      </c>
      <c r="R309" s="306">
        <f t="shared" ca="1" si="136"/>
        <v>0.3679991511928084</v>
      </c>
      <c r="S309" s="307">
        <f t="shared" ca="1" si="137"/>
        <v>12.851674586421879</v>
      </c>
      <c r="T309" s="304">
        <f t="shared" ca="1" si="117"/>
        <v>126.07492769279864</v>
      </c>
      <c r="U309" s="311">
        <f t="shared" ca="1" si="118"/>
        <v>0</v>
      </c>
      <c r="V309" s="306">
        <f t="shared" ca="1" si="119"/>
        <v>1.1916682329627146</v>
      </c>
      <c r="W309" s="304">
        <f t="shared" ca="1" si="120"/>
        <v>82.806375266203247</v>
      </c>
      <c r="Y309" s="314" t="str">
        <f t="shared" ca="1" si="138"/>
        <v/>
      </c>
      <c r="Z309" s="315" t="str">
        <f t="shared" ca="1" si="139"/>
        <v/>
      </c>
      <c r="AA309" s="316" t="str">
        <f t="shared" ca="1" si="140"/>
        <v/>
      </c>
      <c r="AC309" s="310" t="e">
        <f t="shared" ca="1" si="141"/>
        <v>#N/A</v>
      </c>
      <c r="AD309" s="323" t="e">
        <f t="shared" ca="1" si="142"/>
        <v>#N/A</v>
      </c>
      <c r="AE309" s="324">
        <f t="shared" ca="1" si="121"/>
        <v>275.84892773156616</v>
      </c>
      <c r="AG309" s="306">
        <f t="shared" ca="1" si="143"/>
        <v>41.224283182170339</v>
      </c>
      <c r="AH309" s="304">
        <f t="shared" ca="1" si="144"/>
        <v>50.74818545278184</v>
      </c>
    </row>
    <row r="310" spans="1:34" x14ac:dyDescent="0.25">
      <c r="A310" s="347">
        <f t="shared" ca="1" si="122"/>
        <v>0.01</v>
      </c>
      <c r="B310" s="304">
        <f t="shared" ca="1" si="123"/>
        <v>3.0599999999999787</v>
      </c>
      <c r="D310" s="306">
        <f t="shared" ca="1" si="124"/>
        <v>12.144592037727994</v>
      </c>
      <c r="E310" s="307">
        <f t="shared" ca="1" si="125"/>
        <v>39.340664470308411</v>
      </c>
      <c r="F310" s="304">
        <f t="shared" ca="1" si="126"/>
        <v>41.172551496454929</v>
      </c>
      <c r="G310" s="306">
        <f t="shared" ca="1" si="127"/>
        <v>41.96601801852303</v>
      </c>
      <c r="H310" s="307">
        <f t="shared" ca="1" si="128"/>
        <v>169.74355992365631</v>
      </c>
      <c r="I310" s="304">
        <f t="shared" ca="1" si="129"/>
        <v>174.85429020726627</v>
      </c>
      <c r="J310" s="306">
        <f t="shared" ca="1" si="130"/>
        <v>63.309341132019817</v>
      </c>
      <c r="K310" s="307">
        <f t="shared" ca="1" si="131"/>
        <v>277.54439629757923</v>
      </c>
      <c r="L310" s="304">
        <f t="shared" ca="1" si="116"/>
        <v>284.67343499307793</v>
      </c>
      <c r="M310" s="306">
        <f t="shared" ca="1" si="132"/>
        <v>1.3284246530427291</v>
      </c>
      <c r="N310" s="304">
        <f t="shared" ca="1" si="133"/>
        <v>76.113126020479086</v>
      </c>
      <c r="P310" s="310">
        <f t="shared" ca="1" si="134"/>
        <v>10</v>
      </c>
      <c r="Q310" s="304">
        <f t="shared" ca="1" si="135"/>
        <v>733.28571428571718</v>
      </c>
      <c r="R310" s="306">
        <f t="shared" ca="1" si="136"/>
        <v>0.36732647072819813</v>
      </c>
      <c r="S310" s="307">
        <f t="shared" ca="1" si="137"/>
        <v>12.848001321714596</v>
      </c>
      <c r="T310" s="304">
        <f t="shared" ca="1" si="117"/>
        <v>126.0388929660202</v>
      </c>
      <c r="U310" s="311">
        <f t="shared" ca="1" si="118"/>
        <v>0</v>
      </c>
      <c r="V310" s="306">
        <f t="shared" ca="1" si="119"/>
        <v>1.1914661678140266</v>
      </c>
      <c r="W310" s="304">
        <f t="shared" ca="1" si="120"/>
        <v>83.182973868605472</v>
      </c>
      <c r="Y310" s="314" t="str">
        <f t="shared" ca="1" si="138"/>
        <v/>
      </c>
      <c r="Z310" s="315" t="str">
        <f t="shared" ca="1" si="139"/>
        <v/>
      </c>
      <c r="AA310" s="316" t="str">
        <f t="shared" ca="1" si="140"/>
        <v/>
      </c>
      <c r="AC310" s="310" t="e">
        <f t="shared" ca="1" si="141"/>
        <v>#N/A</v>
      </c>
      <c r="AD310" s="323" t="e">
        <f t="shared" ca="1" si="142"/>
        <v>#N/A</v>
      </c>
      <c r="AE310" s="324">
        <f t="shared" ca="1" si="121"/>
        <v>277.54439629757923</v>
      </c>
      <c r="AG310" s="306">
        <f t="shared" ca="1" si="143"/>
        <v>41.105249905701235</v>
      </c>
      <c r="AH310" s="304">
        <f t="shared" ca="1" si="144"/>
        <v>50.628835001762425</v>
      </c>
    </row>
    <row r="311" spans="1:34" x14ac:dyDescent="0.25">
      <c r="A311" s="347">
        <f t="shared" ca="1" si="122"/>
        <v>0.01</v>
      </c>
      <c r="B311" s="304">
        <f t="shared" ca="1" si="123"/>
        <v>3.0699999999999785</v>
      </c>
      <c r="D311" s="306">
        <f t="shared" ca="1" si="124"/>
        <v>12.122545989341214</v>
      </c>
      <c r="E311" s="307">
        <f t="shared" ca="1" si="125"/>
        <v>39.223103656886813</v>
      </c>
      <c r="F311" s="304">
        <f t="shared" ca="1" si="126"/>
        <v>41.053720680866192</v>
      </c>
      <c r="G311" s="306">
        <f t="shared" ca="1" si="127"/>
        <v>42.08724347841644</v>
      </c>
      <c r="H311" s="307">
        <f t="shared" ca="1" si="128"/>
        <v>170.13579096022517</v>
      </c>
      <c r="I311" s="304">
        <f t="shared" ca="1" si="129"/>
        <v>175.26415329231742</v>
      </c>
      <c r="J311" s="306">
        <f t="shared" ca="1" si="130"/>
        <v>63.729607439504512</v>
      </c>
      <c r="K311" s="307">
        <f t="shared" ca="1" si="131"/>
        <v>279.24379305199864</v>
      </c>
      <c r="L311" s="304">
        <f t="shared" ca="1" si="116"/>
        <v>286.42373997708501</v>
      </c>
      <c r="M311" s="306">
        <f t="shared" ca="1" si="132"/>
        <v>1.3282903155062646</v>
      </c>
      <c r="N311" s="304">
        <f t="shared" ca="1" si="133"/>
        <v>76.105429046609487</v>
      </c>
      <c r="P311" s="310">
        <f t="shared" ca="1" si="134"/>
        <v>10</v>
      </c>
      <c r="Q311" s="304">
        <f t="shared" ca="1" si="135"/>
        <v>731.94285714286002</v>
      </c>
      <c r="R311" s="306">
        <f t="shared" ca="1" si="136"/>
        <v>0.36665379026358774</v>
      </c>
      <c r="S311" s="307">
        <f t="shared" ca="1" si="137"/>
        <v>12.844334783811961</v>
      </c>
      <c r="T311" s="304">
        <f t="shared" ca="1" si="117"/>
        <v>126.00292422919534</v>
      </c>
      <c r="U311" s="311">
        <f t="shared" ca="1" si="118"/>
        <v>0</v>
      </c>
      <c r="V311" s="306">
        <f t="shared" ca="1" si="119"/>
        <v>1.1912636684109594</v>
      </c>
      <c r="W311" s="304">
        <f t="shared" ca="1" si="120"/>
        <v>83.559193118550908</v>
      </c>
      <c r="Y311" s="314" t="str">
        <f t="shared" ca="1" si="138"/>
        <v/>
      </c>
      <c r="Z311" s="315" t="str">
        <f t="shared" ca="1" si="139"/>
        <v/>
      </c>
      <c r="AA311" s="316" t="str">
        <f t="shared" ca="1" si="140"/>
        <v/>
      </c>
      <c r="AC311" s="310" t="e">
        <f t="shared" ca="1" si="141"/>
        <v>#N/A</v>
      </c>
      <c r="AD311" s="323" t="e">
        <f t="shared" ca="1" si="142"/>
        <v>#N/A</v>
      </c>
      <c r="AE311" s="324">
        <f t="shared" ca="1" si="121"/>
        <v>279.24379305199864</v>
      </c>
      <c r="AG311" s="306">
        <f t="shared" ca="1" si="143"/>
        <v>40.98615035924238</v>
      </c>
      <c r="AH311" s="304">
        <f t="shared" ca="1" si="144"/>
        <v>50.509418680981675</v>
      </c>
    </row>
    <row r="312" spans="1:34" x14ac:dyDescent="0.25">
      <c r="A312" s="347">
        <f t="shared" ca="1" si="122"/>
        <v>0.01</v>
      </c>
      <c r="B312" s="304">
        <f t="shared" ca="1" si="123"/>
        <v>3.0799999999999783</v>
      </c>
      <c r="D312" s="306">
        <f t="shared" ca="1" si="124"/>
        <v>12.100441080228318</v>
      </c>
      <c r="E312" s="307">
        <f t="shared" ca="1" si="125"/>
        <v>39.10548944534743</v>
      </c>
      <c r="F312" s="304">
        <f t="shared" ca="1" si="126"/>
        <v>40.934825993232906</v>
      </c>
      <c r="G312" s="306">
        <f t="shared" ca="1" si="127"/>
        <v>42.208247889218725</v>
      </c>
      <c r="H312" s="307">
        <f t="shared" ca="1" si="128"/>
        <v>170.52684585467864</v>
      </c>
      <c r="I312" s="304">
        <f t="shared" ca="1" si="129"/>
        <v>175.6728247254625</v>
      </c>
      <c r="J312" s="306">
        <f t="shared" ca="1" si="130"/>
        <v>64.151084896342695</v>
      </c>
      <c r="K312" s="307">
        <f t="shared" ca="1" si="131"/>
        <v>280.94710623607318</v>
      </c>
      <c r="L312" s="304">
        <f t="shared" ca="1" si="116"/>
        <v>288.178136220986</v>
      </c>
      <c r="M312" s="306">
        <f t="shared" ca="1" si="132"/>
        <v>1.328156217658564</v>
      </c>
      <c r="N312" s="304">
        <f t="shared" ca="1" si="133"/>
        <v>76.097745805894462</v>
      </c>
      <c r="P312" s="310">
        <f t="shared" ca="1" si="134"/>
        <v>10</v>
      </c>
      <c r="Q312" s="304">
        <f t="shared" ca="1" si="135"/>
        <v>730.60000000000286</v>
      </c>
      <c r="R312" s="306">
        <f t="shared" ca="1" si="136"/>
        <v>0.36598110979897736</v>
      </c>
      <c r="S312" s="307">
        <f t="shared" ca="1" si="137"/>
        <v>12.840674972713972</v>
      </c>
      <c r="T312" s="304">
        <f t="shared" ca="1" si="117"/>
        <v>125.96702148232407</v>
      </c>
      <c r="U312" s="311">
        <f t="shared" ca="1" si="118"/>
        <v>0</v>
      </c>
      <c r="V312" s="306">
        <f t="shared" ca="1" si="119"/>
        <v>1.1910607363811563</v>
      </c>
      <c r="W312" s="304">
        <f t="shared" ca="1" si="120"/>
        <v>83.935024222906691</v>
      </c>
      <c r="Y312" s="314" t="str">
        <f t="shared" ca="1" si="138"/>
        <v/>
      </c>
      <c r="Z312" s="315" t="str">
        <f t="shared" ca="1" si="139"/>
        <v/>
      </c>
      <c r="AA312" s="316" t="str">
        <f t="shared" ca="1" si="140"/>
        <v/>
      </c>
      <c r="AC312" s="310" t="e">
        <f t="shared" ca="1" si="141"/>
        <v>#N/A</v>
      </c>
      <c r="AD312" s="323" t="e">
        <f t="shared" ca="1" si="142"/>
        <v>#N/A</v>
      </c>
      <c r="AE312" s="324">
        <f t="shared" ca="1" si="121"/>
        <v>280.94710623607318</v>
      </c>
      <c r="AG312" s="306">
        <f t="shared" ca="1" si="143"/>
        <v>40.866985365025513</v>
      </c>
      <c r="AH312" s="304">
        <f t="shared" ca="1" si="144"/>
        <v>50.389937309089532</v>
      </c>
    </row>
    <row r="313" spans="1:34" x14ac:dyDescent="0.25">
      <c r="A313" s="347">
        <f t="shared" ca="1" si="122"/>
        <v>0.01</v>
      </c>
      <c r="B313" s="304">
        <f t="shared" ca="1" si="123"/>
        <v>3.0899999999999781</v>
      </c>
      <c r="D313" s="306">
        <f t="shared" ca="1" si="124"/>
        <v>12.078277660846529</v>
      </c>
      <c r="E313" s="307">
        <f t="shared" ca="1" si="125"/>
        <v>38.987822602517625</v>
      </c>
      <c r="F313" s="304">
        <f t="shared" ca="1" si="126"/>
        <v>40.815868268822712</v>
      </c>
      <c r="G313" s="306">
        <f t="shared" ca="1" si="127"/>
        <v>42.32903066582719</v>
      </c>
      <c r="H313" s="307">
        <f t="shared" ca="1" si="128"/>
        <v>170.91672408070383</v>
      </c>
      <c r="I313" s="304">
        <f t="shared" ca="1" si="129"/>
        <v>176.08030386044879</v>
      </c>
      <c r="J313" s="306">
        <f t="shared" ca="1" si="130"/>
        <v>64.573771289117929</v>
      </c>
      <c r="K313" s="307">
        <f t="shared" ca="1" si="131"/>
        <v>282.65432408575009</v>
      </c>
      <c r="L313" s="304">
        <f t="shared" ca="1" si="116"/>
        <v>289.93661180139281</v>
      </c>
      <c r="M313" s="306">
        <f t="shared" ca="1" si="132"/>
        <v>1.3280223576126648</v>
      </c>
      <c r="N313" s="304">
        <f t="shared" ca="1" si="133"/>
        <v>76.090076190219008</v>
      </c>
      <c r="P313" s="310">
        <f t="shared" ca="1" si="134"/>
        <v>10</v>
      </c>
      <c r="Q313" s="304">
        <f t="shared" ca="1" si="135"/>
        <v>729.25714285714582</v>
      </c>
      <c r="R313" s="306">
        <f t="shared" ca="1" si="136"/>
        <v>0.36530842933436702</v>
      </c>
      <c r="S313" s="307">
        <f t="shared" ca="1" si="137"/>
        <v>12.837021888420628</v>
      </c>
      <c r="T313" s="304">
        <f t="shared" ca="1" si="117"/>
        <v>125.93118472540637</v>
      </c>
      <c r="U313" s="311">
        <f t="shared" ca="1" si="118"/>
        <v>0</v>
      </c>
      <c r="V313" s="306">
        <f t="shared" ca="1" si="119"/>
        <v>1.1908573733523755</v>
      </c>
      <c r="W313" s="304">
        <f t="shared" ca="1" si="120"/>
        <v>84.310458422221529</v>
      </c>
      <c r="Y313" s="314" t="str">
        <f t="shared" ca="1" si="138"/>
        <v/>
      </c>
      <c r="Z313" s="315" t="str">
        <f t="shared" ca="1" si="139"/>
        <v/>
      </c>
      <c r="AA313" s="316" t="str">
        <f t="shared" ca="1" si="140"/>
        <v/>
      </c>
      <c r="AC313" s="310" t="e">
        <f t="shared" ca="1" si="141"/>
        <v>#N/A</v>
      </c>
      <c r="AD313" s="323" t="e">
        <f t="shared" ca="1" si="142"/>
        <v>#N/A</v>
      </c>
      <c r="AE313" s="324">
        <f t="shared" ca="1" si="121"/>
        <v>282.65432408575009</v>
      </c>
      <c r="AG313" s="306">
        <f t="shared" ca="1" si="143"/>
        <v>40.747755743779322</v>
      </c>
      <c r="AH313" s="304">
        <f t="shared" ca="1" si="144"/>
        <v>50.27039170326092</v>
      </c>
    </row>
    <row r="314" spans="1:34" x14ac:dyDescent="0.25">
      <c r="A314" s="347">
        <f t="shared" ca="1" si="122"/>
        <v>0.01</v>
      </c>
      <c r="B314" s="304">
        <f t="shared" ca="1" si="123"/>
        <v>3.0999999999999779</v>
      </c>
      <c r="D314" s="306">
        <f t="shared" ca="1" si="124"/>
        <v>12.056056080097752</v>
      </c>
      <c r="E314" s="307">
        <f t="shared" ca="1" si="125"/>
        <v>38.870103893971184</v>
      </c>
      <c r="F314" s="304">
        <f t="shared" ca="1" si="126"/>
        <v>40.696848341543301</v>
      </c>
      <c r="G314" s="306">
        <f t="shared" ca="1" si="127"/>
        <v>42.449591226628165</v>
      </c>
      <c r="H314" s="307">
        <f t="shared" ca="1" si="128"/>
        <v>171.30542511964353</v>
      </c>
      <c r="I314" s="304">
        <f t="shared" ca="1" si="129"/>
        <v>176.48659005921562</v>
      </c>
      <c r="J314" s="306">
        <f t="shared" ca="1" si="130"/>
        <v>64.997664398580199</v>
      </c>
      <c r="K314" s="307">
        <f t="shared" ca="1" si="131"/>
        <v>284.36543483175183</v>
      </c>
      <c r="L314" s="304">
        <f t="shared" ca="1" si="116"/>
        <v>291.69915478849396</v>
      </c>
      <c r="M314" s="306">
        <f t="shared" ca="1" si="132"/>
        <v>1.3278887334979814</v>
      </c>
      <c r="N314" s="304">
        <f t="shared" ca="1" si="133"/>
        <v>76.08242009240648</v>
      </c>
      <c r="P314" s="310">
        <f t="shared" ca="1" si="134"/>
        <v>10</v>
      </c>
      <c r="Q314" s="304">
        <f t="shared" ca="1" si="135"/>
        <v>727.91428571428867</v>
      </c>
      <c r="R314" s="306">
        <f t="shared" ca="1" si="136"/>
        <v>0.36463574886975664</v>
      </c>
      <c r="S314" s="307">
        <f t="shared" ca="1" si="137"/>
        <v>12.83337553093193</v>
      </c>
      <c r="T314" s="304">
        <f t="shared" ca="1" si="117"/>
        <v>125.89541395844223</v>
      </c>
      <c r="U314" s="311">
        <f t="shared" ca="1" si="118"/>
        <v>0</v>
      </c>
      <c r="V314" s="306">
        <f t="shared" ca="1" si="119"/>
        <v>1.1906535809524788</v>
      </c>
      <c r="W314" s="304">
        <f t="shared" ca="1" si="120"/>
        <v>84.685486990850279</v>
      </c>
      <c r="Y314" s="314" t="str">
        <f t="shared" ca="1" si="138"/>
        <v/>
      </c>
      <c r="Z314" s="315" t="str">
        <f t="shared" ca="1" si="139"/>
        <v/>
      </c>
      <c r="AA314" s="316" t="str">
        <f t="shared" ca="1" si="140"/>
        <v/>
      </c>
      <c r="AC314" s="310" t="e">
        <f t="shared" ca="1" si="141"/>
        <v>#N/A</v>
      </c>
      <c r="AD314" s="323" t="e">
        <f t="shared" ca="1" si="142"/>
        <v>#N/A</v>
      </c>
      <c r="AE314" s="324">
        <f t="shared" ca="1" si="121"/>
        <v>284.36543483175183</v>
      </c>
      <c r="AG314" s="306">
        <f t="shared" ca="1" si="143"/>
        <v>40.628462314713545</v>
      </c>
      <c r="AH314" s="304">
        <f t="shared" ca="1" si="144"/>
        <v>50.1507826791795</v>
      </c>
    </row>
    <row r="315" spans="1:34" x14ac:dyDescent="0.25">
      <c r="A315" s="347">
        <f t="shared" ca="1" si="122"/>
        <v>0.01</v>
      </c>
      <c r="B315" s="304">
        <f t="shared" ca="1" si="123"/>
        <v>3.1099999999999777</v>
      </c>
      <c r="D315" s="306">
        <f t="shared" ca="1" si="124"/>
        <v>12.033776685340921</v>
      </c>
      <c r="E315" s="307">
        <f t="shared" ca="1" si="125"/>
        <v>38.752334084010108</v>
      </c>
      <c r="F315" s="304">
        <f t="shared" ca="1" si="126"/>
        <v>40.5777670439292</v>
      </c>
      <c r="G315" s="306">
        <f t="shared" ca="1" si="127"/>
        <v>42.569928993481575</v>
      </c>
      <c r="H315" s="307">
        <f t="shared" ca="1" si="128"/>
        <v>171.69294846048362</v>
      </c>
      <c r="I315" s="304">
        <f t="shared" ca="1" si="129"/>
        <v>176.89168269187886</v>
      </c>
      <c r="J315" s="306">
        <f t="shared" ca="1" si="130"/>
        <v>65.422761999680745</v>
      </c>
      <c r="K315" s="307">
        <f t="shared" ca="1" si="131"/>
        <v>286.08042669965243</v>
      </c>
      <c r="L315" s="304">
        <f t="shared" ca="1" si="116"/>
        <v>293.46575324613616</v>
      </c>
      <c r="M315" s="306">
        <f t="shared" ca="1" si="132"/>
        <v>1.3277553434600973</v>
      </c>
      <c r="N315" s="304">
        <f t="shared" ca="1" si="133"/>
        <v>76.074777406206621</v>
      </c>
      <c r="P315" s="310">
        <f t="shared" ca="1" si="134"/>
        <v>10</v>
      </c>
      <c r="Q315" s="304">
        <f t="shared" ca="1" si="135"/>
        <v>726.57142857143162</v>
      </c>
      <c r="R315" s="306">
        <f t="shared" ca="1" si="136"/>
        <v>0.36396306840514631</v>
      </c>
      <c r="S315" s="307">
        <f t="shared" ca="1" si="137"/>
        <v>12.829735900247877</v>
      </c>
      <c r="T315" s="304">
        <f t="shared" ca="1" si="117"/>
        <v>125.85970918143168</v>
      </c>
      <c r="U315" s="311">
        <f t="shared" ca="1" si="118"/>
        <v>0</v>
      </c>
      <c r="V315" s="306">
        <f t="shared" ca="1" si="119"/>
        <v>1.190449360809412</v>
      </c>
      <c r="W315" s="304">
        <f t="shared" ca="1" si="120"/>
        <v>85.060101237075912</v>
      </c>
      <c r="Y315" s="314" t="str">
        <f t="shared" ca="1" si="138"/>
        <v/>
      </c>
      <c r="Z315" s="315" t="str">
        <f t="shared" ca="1" si="139"/>
        <v/>
      </c>
      <c r="AA315" s="316" t="str">
        <f t="shared" ca="1" si="140"/>
        <v/>
      </c>
      <c r="AC315" s="310" t="e">
        <f t="shared" ca="1" si="141"/>
        <v>#N/A</v>
      </c>
      <c r="AD315" s="323" t="e">
        <f t="shared" ca="1" si="142"/>
        <v>#N/A</v>
      </c>
      <c r="AE315" s="324">
        <f t="shared" ca="1" si="121"/>
        <v>286.08042669965243</v>
      </c>
      <c r="AG315" s="306">
        <f t="shared" ca="1" si="143"/>
        <v>40.509105895503353</v>
      </c>
      <c r="AH315" s="304">
        <f t="shared" ca="1" si="144"/>
        <v>50.031111051021696</v>
      </c>
    </row>
    <row r="316" spans="1:34" x14ac:dyDescent="0.25">
      <c r="A316" s="347">
        <f t="shared" ca="1" si="122"/>
        <v>0.01</v>
      </c>
      <c r="B316" s="304">
        <f t="shared" ca="1" si="123"/>
        <v>3.1199999999999775</v>
      </c>
      <c r="D316" s="306">
        <f t="shared" ca="1" si="124"/>
        <v>12.011439822403911</v>
      </c>
      <c r="E316" s="307">
        <f t="shared" ca="1" si="125"/>
        <v>38.634513935646382</v>
      </c>
      <c r="F316" s="304">
        <f t="shared" ca="1" si="126"/>
        <v>40.458625207128392</v>
      </c>
      <c r="G316" s="306">
        <f t="shared" ca="1" si="127"/>
        <v>42.690043391705615</v>
      </c>
      <c r="H316" s="307">
        <f t="shared" ca="1" si="128"/>
        <v>172.07929359984007</v>
      </c>
      <c r="I316" s="304">
        <f t="shared" ca="1" si="129"/>
        <v>177.2955811367155</v>
      </c>
      <c r="J316" s="306">
        <f t="shared" ca="1" si="130"/>
        <v>65.849061861606685</v>
      </c>
      <c r="K316" s="307">
        <f t="shared" ca="1" si="131"/>
        <v>287.79928790995405</v>
      </c>
      <c r="L316" s="304">
        <f t="shared" ca="1" si="116"/>
        <v>295.23639523190622</v>
      </c>
      <c r="M316" s="306">
        <f t="shared" ca="1" si="132"/>
        <v>1.3276221856605603</v>
      </c>
      <c r="N316" s="304">
        <f t="shared" ca="1" si="133"/>
        <v>76.067148026283903</v>
      </c>
      <c r="P316" s="310">
        <f t="shared" ca="1" si="134"/>
        <v>10</v>
      </c>
      <c r="Q316" s="304">
        <f t="shared" ca="1" si="135"/>
        <v>725.22857142857447</v>
      </c>
      <c r="R316" s="306">
        <f t="shared" ca="1" si="136"/>
        <v>0.36329038794053592</v>
      </c>
      <c r="S316" s="307">
        <f t="shared" ca="1" si="137"/>
        <v>12.826102996368473</v>
      </c>
      <c r="T316" s="304">
        <f t="shared" ca="1" si="117"/>
        <v>125.82407039437473</v>
      </c>
      <c r="U316" s="311">
        <f t="shared" ca="1" si="118"/>
        <v>0</v>
      </c>
      <c r="V316" s="306">
        <f t="shared" ca="1" si="119"/>
        <v>1.1902447145511943</v>
      </c>
      <c r="W316" s="304">
        <f t="shared" ca="1" si="120"/>
        <v>85.434292503230552</v>
      </c>
      <c r="Y316" s="314" t="str">
        <f t="shared" ca="1" si="138"/>
        <v/>
      </c>
      <c r="Z316" s="315" t="str">
        <f t="shared" ca="1" si="139"/>
        <v/>
      </c>
      <c r="AA316" s="316" t="str">
        <f t="shared" ca="1" si="140"/>
        <v/>
      </c>
      <c r="AC316" s="310" t="e">
        <f t="shared" ca="1" si="141"/>
        <v>#N/A</v>
      </c>
      <c r="AD316" s="323" t="e">
        <f t="shared" ca="1" si="142"/>
        <v>#N/A</v>
      </c>
      <c r="AE316" s="324">
        <f t="shared" ca="1" si="121"/>
        <v>287.79928790995405</v>
      </c>
      <c r="AG316" s="306">
        <f t="shared" ca="1" si="143"/>
        <v>40.389687302273565</v>
      </c>
      <c r="AH316" s="304">
        <f t="shared" ca="1" si="144"/>
        <v>49.911377631440587</v>
      </c>
    </row>
    <row r="317" spans="1:34" x14ac:dyDescent="0.25">
      <c r="A317" s="347">
        <f t="shared" ca="1" si="122"/>
        <v>0.01</v>
      </c>
      <c r="B317" s="304">
        <f t="shared" ca="1" si="123"/>
        <v>3.1299999999999772</v>
      </c>
      <c r="D317" s="306">
        <f t="shared" ca="1" si="124"/>
        <v>11.989045835595384</v>
      </c>
      <c r="E317" s="307">
        <f t="shared" ca="1" si="125"/>
        <v>38.516644210584182</v>
      </c>
      <c r="F317" s="304">
        <f t="shared" ca="1" si="126"/>
        <v>40.339423660889544</v>
      </c>
      <c r="G317" s="306">
        <f t="shared" ca="1" si="127"/>
        <v>42.809933850061569</v>
      </c>
      <c r="H317" s="307">
        <f t="shared" ca="1" si="128"/>
        <v>172.46446004194593</v>
      </c>
      <c r="I317" s="304">
        <f t="shared" ca="1" si="129"/>
        <v>177.6982847801481</v>
      </c>
      <c r="J317" s="306">
        <f t="shared" ca="1" si="130"/>
        <v>66.276561747815521</v>
      </c>
      <c r="K317" s="307">
        <f t="shared" ca="1" si="131"/>
        <v>289.522006678163</v>
      </c>
      <c r="L317" s="304">
        <f t="shared" ca="1" si="116"/>
        <v>297.01106879721209</v>
      </c>
      <c r="M317" s="306">
        <f t="shared" ca="1" si="132"/>
        <v>1.3274892582766817</v>
      </c>
      <c r="N317" s="304">
        <f t="shared" ca="1" si="133"/>
        <v>76.05953184820595</v>
      </c>
      <c r="P317" s="310">
        <f t="shared" ca="1" si="134"/>
        <v>10</v>
      </c>
      <c r="Q317" s="304">
        <f t="shared" ca="1" si="135"/>
        <v>723.88571428571731</v>
      </c>
      <c r="R317" s="306">
        <f t="shared" ca="1" si="136"/>
        <v>0.36261770747592553</v>
      </c>
      <c r="S317" s="307">
        <f t="shared" ca="1" si="137"/>
        <v>12.822476819293714</v>
      </c>
      <c r="T317" s="304">
        <f t="shared" ca="1" si="117"/>
        <v>125.78849759727134</v>
      </c>
      <c r="U317" s="311">
        <f t="shared" ca="1" si="118"/>
        <v>0</v>
      </c>
      <c r="V317" s="306">
        <f t="shared" ca="1" si="119"/>
        <v>1.1900396438059</v>
      </c>
      <c r="W317" s="304">
        <f t="shared" ca="1" si="120"/>
        <v>85.808052165814544</v>
      </c>
      <c r="Y317" s="314" t="str">
        <f t="shared" ca="1" si="138"/>
        <v/>
      </c>
      <c r="Z317" s="315" t="str">
        <f t="shared" ca="1" si="139"/>
        <v/>
      </c>
      <c r="AA317" s="316" t="str">
        <f t="shared" ca="1" si="140"/>
        <v/>
      </c>
      <c r="AC317" s="310" t="e">
        <f t="shared" ca="1" si="141"/>
        <v>#N/A</v>
      </c>
      <c r="AD317" s="323" t="e">
        <f t="shared" ca="1" si="142"/>
        <v>#N/A</v>
      </c>
      <c r="AE317" s="324">
        <f t="shared" ca="1" si="121"/>
        <v>289.522006678163</v>
      </c>
      <c r="AG317" s="306">
        <f t="shared" ca="1" si="143"/>
        <v>40.270207349583345</v>
      </c>
      <c r="AH317" s="304">
        <f t="shared" ca="1" si="144"/>
        <v>49.791583231550256</v>
      </c>
    </row>
    <row r="318" spans="1:34" x14ac:dyDescent="0.25">
      <c r="A318" s="347">
        <f t="shared" ca="1" si="122"/>
        <v>0.01</v>
      </c>
      <c r="B318" s="304">
        <f t="shared" ca="1" si="123"/>
        <v>3.139999999999977</v>
      </c>
      <c r="D318" s="306">
        <f t="shared" ca="1" si="124"/>
        <v>11.966595067716263</v>
      </c>
      <c r="E318" s="307">
        <f t="shared" ca="1" si="125"/>
        <v>38.398725669201909</v>
      </c>
      <c r="F318" s="304">
        <f t="shared" ca="1" si="126"/>
        <v>40.220163233548874</v>
      </c>
      <c r="G318" s="306">
        <f t="shared" ca="1" si="127"/>
        <v>42.929599800738728</v>
      </c>
      <c r="H318" s="307">
        <f t="shared" ca="1" si="128"/>
        <v>172.84844729863795</v>
      </c>
      <c r="I318" s="304">
        <f t="shared" ca="1" si="129"/>
        <v>178.09979301672871</v>
      </c>
      <c r="J318" s="306">
        <f t="shared" ca="1" si="130"/>
        <v>66.705259416069524</v>
      </c>
      <c r="K318" s="307">
        <f t="shared" ca="1" si="131"/>
        <v>291.24857121486593</v>
      </c>
      <c r="L318" s="304">
        <f t="shared" ca="1" si="116"/>
        <v>298.78976198736456</v>
      </c>
      <c r="M318" s="306">
        <f t="shared" ca="1" si="132"/>
        <v>1.3273565595013368</v>
      </c>
      <c r="N318" s="304">
        <f t="shared" ca="1" si="133"/>
        <v>76.051928768432134</v>
      </c>
      <c r="P318" s="310">
        <f t="shared" ca="1" si="134"/>
        <v>10</v>
      </c>
      <c r="Q318" s="304">
        <f t="shared" ca="1" si="135"/>
        <v>722.54285714286027</v>
      </c>
      <c r="R318" s="306">
        <f t="shared" ca="1" si="136"/>
        <v>0.36194502701131526</v>
      </c>
      <c r="S318" s="307">
        <f t="shared" ca="1" si="137"/>
        <v>12.818857369023601</v>
      </c>
      <c r="T318" s="304">
        <f t="shared" ca="1" si="117"/>
        <v>125.75299079012153</v>
      </c>
      <c r="U318" s="311">
        <f t="shared" ca="1" si="118"/>
        <v>0</v>
      </c>
      <c r="V318" s="306">
        <f t="shared" ca="1" si="119"/>
        <v>1.1898341502016454</v>
      </c>
      <c r="W318" s="304">
        <f t="shared" ca="1" si="120"/>
        <v>86.1813716356139</v>
      </c>
      <c r="Y318" s="314" t="str">
        <f t="shared" ca="1" si="138"/>
        <v/>
      </c>
      <c r="Z318" s="315" t="str">
        <f t="shared" ca="1" si="139"/>
        <v/>
      </c>
      <c r="AA318" s="316" t="str">
        <f t="shared" ca="1" si="140"/>
        <v/>
      </c>
      <c r="AC318" s="310" t="e">
        <f t="shared" ca="1" si="141"/>
        <v>#N/A</v>
      </c>
      <c r="AD318" s="323" t="e">
        <f t="shared" ca="1" si="142"/>
        <v>#N/A</v>
      </c>
      <c r="AE318" s="324">
        <f t="shared" ca="1" si="121"/>
        <v>291.24857121486593</v>
      </c>
      <c r="AG318" s="306">
        <f t="shared" ca="1" si="143"/>
        <v>40.150666850410644</v>
      </c>
      <c r="AH318" s="304">
        <f t="shared" ca="1" si="144"/>
        <v>49.671728660909906</v>
      </c>
    </row>
    <row r="319" spans="1:34" x14ac:dyDescent="0.25">
      <c r="A319" s="347">
        <f t="shared" ca="1" si="122"/>
        <v>0.01</v>
      </c>
      <c r="B319" s="304">
        <f t="shared" ca="1" si="123"/>
        <v>3.1499999999999768</v>
      </c>
      <c r="D319" s="306">
        <f t="shared" ca="1" si="124"/>
        <v>11.944087860071084</v>
      </c>
      <c r="E319" s="307">
        <f t="shared" ca="1" si="125"/>
        <v>38.280759070534636</v>
      </c>
      <c r="F319" s="304">
        <f t="shared" ca="1" si="126"/>
        <v>40.100844752017601</v>
      </c>
      <c r="G319" s="306">
        <f t="shared" ca="1" si="127"/>
        <v>43.049040679339441</v>
      </c>
      <c r="H319" s="307">
        <f t="shared" ca="1" si="128"/>
        <v>173.23125488934329</v>
      </c>
      <c r="I319" s="304">
        <f t="shared" ca="1" si="129"/>
        <v>178.50010524912318</v>
      </c>
      <c r="J319" s="306">
        <f t="shared" ca="1" si="130"/>
        <v>67.135152618469917</v>
      </c>
      <c r="K319" s="307">
        <f t="shared" ca="1" si="131"/>
        <v>292.97896972580583</v>
      </c>
      <c r="L319" s="304">
        <f t="shared" ca="1" si="116"/>
        <v>300.57246284165802</v>
      </c>
      <c r="M319" s="306">
        <f t="shared" ca="1" si="132"/>
        <v>1.3272240875427708</v>
      </c>
      <c r="N319" s="304">
        <f t="shared" ca="1" si="133"/>
        <v>76.04433868430246</v>
      </c>
      <c r="P319" s="310">
        <f t="shared" ca="1" si="134"/>
        <v>10</v>
      </c>
      <c r="Q319" s="304">
        <f t="shared" ca="1" si="135"/>
        <v>721.20000000000312</v>
      </c>
      <c r="R319" s="306">
        <f t="shared" ca="1" si="136"/>
        <v>0.36127234654670487</v>
      </c>
      <c r="S319" s="307">
        <f t="shared" ca="1" si="137"/>
        <v>12.815244645558133</v>
      </c>
      <c r="T319" s="304">
        <f t="shared" ca="1" si="117"/>
        <v>125.7175499729253</v>
      </c>
      <c r="U319" s="311">
        <f t="shared" ca="1" si="118"/>
        <v>0</v>
      </c>
      <c r="V319" s="306">
        <f t="shared" ca="1" si="119"/>
        <v>1.1896282353665733</v>
      </c>
      <c r="W319" s="304">
        <f t="shared" ca="1" si="120"/>
        <v>86.554242357816221</v>
      </c>
      <c r="Y319" s="314" t="str">
        <f t="shared" ca="1" si="138"/>
        <v/>
      </c>
      <c r="Z319" s="315" t="str">
        <f t="shared" ca="1" si="139"/>
        <v/>
      </c>
      <c r="AA319" s="316" t="str">
        <f t="shared" ca="1" si="140"/>
        <v/>
      </c>
      <c r="AC319" s="310" t="e">
        <f t="shared" ca="1" si="141"/>
        <v>#N/A</v>
      </c>
      <c r="AD319" s="323" t="e">
        <f t="shared" ca="1" si="142"/>
        <v>#N/A</v>
      </c>
      <c r="AE319" s="324">
        <f t="shared" ca="1" si="121"/>
        <v>292.97896972580583</v>
      </c>
      <c r="AG319" s="306">
        <f t="shared" ca="1" si="143"/>
        <v>40.031066616136989</v>
      </c>
      <c r="AH319" s="304">
        <f t="shared" ca="1" si="144"/>
        <v>49.551814727508287</v>
      </c>
    </row>
    <row r="320" spans="1:34" x14ac:dyDescent="0.25">
      <c r="A320" s="347">
        <f t="shared" ca="1" si="122"/>
        <v>0.01</v>
      </c>
      <c r="B320" s="304">
        <f t="shared" ca="1" si="123"/>
        <v>3.1599999999999766</v>
      </c>
      <c r="D320" s="306">
        <f t="shared" ca="1" si="124"/>
        <v>11.921524552479029</v>
      </c>
      <c r="E320" s="307">
        <f t="shared" ca="1" si="125"/>
        <v>38.162745172256606</v>
      </c>
      <c r="F320" s="304">
        <f t="shared" ca="1" si="126"/>
        <v>39.98146904176928</v>
      </c>
      <c r="G320" s="306">
        <f t="shared" ca="1" si="127"/>
        <v>43.168255924864233</v>
      </c>
      <c r="H320" s="307">
        <f t="shared" ca="1" si="128"/>
        <v>173.61288234106587</v>
      </c>
      <c r="I320" s="304">
        <f t="shared" ca="1" si="129"/>
        <v>178.89922088809485</v>
      </c>
      <c r="J320" s="306">
        <f t="shared" ca="1" si="130"/>
        <v>67.566239101490936</v>
      </c>
      <c r="K320" s="307">
        <f t="shared" ca="1" si="131"/>
        <v>294.7131904119579</v>
      </c>
      <c r="L320" s="304">
        <f t="shared" ca="1" si="116"/>
        <v>302.35915939345182</v>
      </c>
      <c r="M320" s="306">
        <f t="shared" ca="1" si="132"/>
        <v>1.3270918406244054</v>
      </c>
      <c r="N320" s="304">
        <f t="shared" ca="1" si="133"/>
        <v>76.036761494026521</v>
      </c>
      <c r="P320" s="310">
        <f t="shared" ca="1" si="134"/>
        <v>10</v>
      </c>
      <c r="Q320" s="304">
        <f t="shared" ca="1" si="135"/>
        <v>719.85714285714596</v>
      </c>
      <c r="R320" s="306">
        <f t="shared" ca="1" si="136"/>
        <v>0.36059966608209448</v>
      </c>
      <c r="S320" s="307">
        <f t="shared" ca="1" si="137"/>
        <v>12.811638648897311</v>
      </c>
      <c r="T320" s="304">
        <f t="shared" ca="1" si="117"/>
        <v>125.68217514568263</v>
      </c>
      <c r="U320" s="311">
        <f t="shared" ca="1" si="118"/>
        <v>0</v>
      </c>
      <c r="V320" s="306">
        <f t="shared" ca="1" si="119"/>
        <v>1.1894219009288378</v>
      </c>
      <c r="W320" s="304">
        <f t="shared" ca="1" si="120"/>
        <v>86.926655812124793</v>
      </c>
      <c r="Y320" s="314" t="str">
        <f t="shared" ca="1" si="138"/>
        <v/>
      </c>
      <c r="Z320" s="315" t="str">
        <f t="shared" ca="1" si="139"/>
        <v/>
      </c>
      <c r="AA320" s="316" t="str">
        <f t="shared" ca="1" si="140"/>
        <v/>
      </c>
      <c r="AC320" s="310" t="e">
        <f t="shared" ca="1" si="141"/>
        <v>#N/A</v>
      </c>
      <c r="AD320" s="323" t="e">
        <f t="shared" ca="1" si="142"/>
        <v>#N/A</v>
      </c>
      <c r="AE320" s="324">
        <f t="shared" ca="1" si="121"/>
        <v>294.7131904119579</v>
      </c>
      <c r="AG320" s="306">
        <f t="shared" ca="1" si="143"/>
        <v>39.911407456532288</v>
      </c>
      <c r="AH320" s="304">
        <f t="shared" ca="1" si="144"/>
        <v>49.431842237748228</v>
      </c>
    </row>
    <row r="321" spans="1:34" x14ac:dyDescent="0.25">
      <c r="A321" s="347">
        <f t="shared" ca="1" si="122"/>
        <v>0.01</v>
      </c>
      <c r="B321" s="304">
        <f t="shared" ca="1" si="123"/>
        <v>3.1699999999999764</v>
      </c>
      <c r="D321" s="306">
        <f t="shared" ca="1" si="124"/>
        <v>11.898905483284821</v>
      </c>
      <c r="E321" s="307">
        <f t="shared" ca="1" si="125"/>
        <v>38.044684730663846</v>
      </c>
      <c r="F321" s="304">
        <f t="shared" ca="1" si="126"/>
        <v>39.862036926827415</v>
      </c>
      <c r="G321" s="306">
        <f t="shared" ca="1" si="127"/>
        <v>43.287244979697078</v>
      </c>
      <c r="H321" s="307">
        <f t="shared" ca="1" si="128"/>
        <v>173.99332918837251</v>
      </c>
      <c r="I321" s="304">
        <f t="shared" ca="1" si="129"/>
        <v>179.29713935248847</v>
      </c>
      <c r="J321" s="306">
        <f t="shared" ca="1" si="130"/>
        <v>67.998516606013737</v>
      </c>
      <c r="K321" s="307">
        <f t="shared" ca="1" si="131"/>
        <v>296.45122146960512</v>
      </c>
      <c r="L321" s="304">
        <f t="shared" ca="1" si="116"/>
        <v>304.14983967025069</v>
      </c>
      <c r="M321" s="306">
        <f t="shared" ca="1" si="132"/>
        <v>1.3269598169846513</v>
      </c>
      <c r="N321" s="304">
        <f t="shared" ca="1" si="133"/>
        <v>76.029197096672647</v>
      </c>
      <c r="P321" s="310">
        <f t="shared" ca="1" si="134"/>
        <v>10</v>
      </c>
      <c r="Q321" s="304">
        <f t="shared" ca="1" si="135"/>
        <v>718.51428571428892</v>
      </c>
      <c r="R321" s="306">
        <f t="shared" ca="1" si="136"/>
        <v>0.35992698561748415</v>
      </c>
      <c r="S321" s="307">
        <f t="shared" ca="1" si="137"/>
        <v>12.808039379041137</v>
      </c>
      <c r="T321" s="304">
        <f t="shared" ca="1" si="117"/>
        <v>125.64686630839356</v>
      </c>
      <c r="U321" s="311">
        <f t="shared" ca="1" si="118"/>
        <v>0</v>
      </c>
      <c r="V321" s="306">
        <f t="shared" ca="1" si="119"/>
        <v>1.1892151485165918</v>
      </c>
      <c r="W321" s="304">
        <f t="shared" ca="1" si="120"/>
        <v>87.298603512871495</v>
      </c>
      <c r="Y321" s="314" t="str">
        <f t="shared" ca="1" si="138"/>
        <v/>
      </c>
      <c r="Z321" s="315" t="str">
        <f t="shared" ca="1" si="139"/>
        <v/>
      </c>
      <c r="AA321" s="316" t="str">
        <f t="shared" ca="1" si="140"/>
        <v/>
      </c>
      <c r="AC321" s="310" t="e">
        <f t="shared" ca="1" si="141"/>
        <v>#N/A</v>
      </c>
      <c r="AD321" s="323" t="e">
        <f t="shared" ca="1" si="142"/>
        <v>#N/A</v>
      </c>
      <c r="AE321" s="324">
        <f t="shared" ca="1" si="121"/>
        <v>296.45122146960512</v>
      </c>
      <c r="AG321" s="306">
        <f t="shared" ca="1" si="143"/>
        <v>39.79169017973976</v>
      </c>
      <c r="AH321" s="304">
        <f t="shared" ca="1" si="144"/>
        <v>49.311811996431217</v>
      </c>
    </row>
    <row r="322" spans="1:34" x14ac:dyDescent="0.25">
      <c r="A322" s="347">
        <f t="shared" ca="1" si="122"/>
        <v>0.01</v>
      </c>
      <c r="B322" s="304">
        <f t="shared" ca="1" si="123"/>
        <v>3.1799999999999762</v>
      </c>
      <c r="D322" s="306">
        <f t="shared" ca="1" si="124"/>
        <v>11.876230989369279</v>
      </c>
      <c r="E322" s="307">
        <f t="shared" ca="1" si="125"/>
        <v>37.926578500657016</v>
      </c>
      <c r="F322" s="304">
        <f t="shared" ca="1" si="126"/>
        <v>39.742549229753166</v>
      </c>
      <c r="G322" s="306">
        <f t="shared" ca="1" si="127"/>
        <v>43.406007289590768</v>
      </c>
      <c r="H322" s="307">
        <f t="shared" ca="1" si="128"/>
        <v>174.37259497337908</v>
      </c>
      <c r="I322" s="304">
        <f t="shared" ca="1" si="129"/>
        <v>179.69386006921357</v>
      </c>
      <c r="J322" s="306">
        <f t="shared" ca="1" si="130"/>
        <v>68.431982867360176</v>
      </c>
      <c r="K322" s="307">
        <f t="shared" ca="1" si="131"/>
        <v>298.19305109041386</v>
      </c>
      <c r="L322" s="304">
        <f t="shared" ca="1" si="116"/>
        <v>305.94449169378561</v>
      </c>
      <c r="M322" s="306">
        <f t="shared" ca="1" si="132"/>
        <v>1.3268280148767186</v>
      </c>
      <c r="N322" s="304">
        <f t="shared" ca="1" si="133"/>
        <v>76.021645392157183</v>
      </c>
      <c r="P322" s="310">
        <f t="shared" ca="1" si="134"/>
        <v>10</v>
      </c>
      <c r="Q322" s="304">
        <f t="shared" ca="1" si="135"/>
        <v>717.17142857143176</v>
      </c>
      <c r="R322" s="306">
        <f t="shared" ca="1" si="136"/>
        <v>0.35925430515287377</v>
      </c>
      <c r="S322" s="307">
        <f t="shared" ca="1" si="137"/>
        <v>12.804446835989609</v>
      </c>
      <c r="T322" s="304">
        <f t="shared" ca="1" si="117"/>
        <v>125.61162346105807</v>
      </c>
      <c r="U322" s="311">
        <f t="shared" ca="1" si="118"/>
        <v>0</v>
      </c>
      <c r="V322" s="306">
        <f t="shared" ca="1" si="119"/>
        <v>1.1890079797579685</v>
      </c>
      <c r="W322" s="304">
        <f t="shared" ca="1" si="120"/>
        <v>87.670077009127255</v>
      </c>
      <c r="Y322" s="314" t="str">
        <f t="shared" ca="1" si="138"/>
        <v/>
      </c>
      <c r="Z322" s="315" t="str">
        <f t="shared" ca="1" si="139"/>
        <v/>
      </c>
      <c r="AA322" s="316" t="str">
        <f t="shared" ca="1" si="140"/>
        <v/>
      </c>
      <c r="AC322" s="310" t="e">
        <f t="shared" ca="1" si="141"/>
        <v>#N/A</v>
      </c>
      <c r="AD322" s="323" t="e">
        <f t="shared" ca="1" si="142"/>
        <v>#N/A</v>
      </c>
      <c r="AE322" s="324">
        <f t="shared" ca="1" si="121"/>
        <v>298.19305109041386</v>
      </c>
      <c r="AG322" s="306">
        <f t="shared" ca="1" si="143"/>
        <v>39.671915592260916</v>
      </c>
      <c r="AH322" s="304">
        <f t="shared" ca="1" si="144"/>
        <v>49.191724806742087</v>
      </c>
    </row>
    <row r="323" spans="1:34" x14ac:dyDescent="0.25">
      <c r="A323" s="347">
        <f t="shared" ca="1" si="122"/>
        <v>0.01</v>
      </c>
      <c r="B323" s="304">
        <f t="shared" ca="1" si="123"/>
        <v>3.189999999999976</v>
      </c>
      <c r="D323" s="306">
        <f t="shared" ca="1" si="124"/>
        <v>11.853501406159891</v>
      </c>
      <c r="E323" s="307">
        <f t="shared" ca="1" si="125"/>
        <v>37.808427235724352</v>
      </c>
      <c r="F323" s="304">
        <f t="shared" ca="1" si="126"/>
        <v>39.623006771633285</v>
      </c>
      <c r="G323" s="306">
        <f t="shared" ca="1" si="127"/>
        <v>43.524542303652368</v>
      </c>
      <c r="H323" s="307">
        <f t="shared" ca="1" si="128"/>
        <v>174.75067924573634</v>
      </c>
      <c r="I323" s="304">
        <f t="shared" ca="1" si="129"/>
        <v>180.08938247322814</v>
      </c>
      <c r="J323" s="306">
        <f t="shared" ca="1" si="130"/>
        <v>68.866635615326388</v>
      </c>
      <c r="K323" s="307">
        <f t="shared" ca="1" si="131"/>
        <v>299.93866746150945</v>
      </c>
      <c r="L323" s="304">
        <f t="shared" ca="1" si="116"/>
        <v>307.74310348009442</v>
      </c>
      <c r="M323" s="306">
        <f t="shared" ca="1" si="132"/>
        <v>1.3266964325684363</v>
      </c>
      <c r="N323" s="304">
        <f t="shared" ca="1" si="133"/>
        <v>76.014106281234021</v>
      </c>
      <c r="P323" s="310">
        <f t="shared" ca="1" si="134"/>
        <v>10</v>
      </c>
      <c r="Q323" s="304">
        <f t="shared" ca="1" si="135"/>
        <v>715.82857142857461</v>
      </c>
      <c r="R323" s="306">
        <f t="shared" ca="1" si="136"/>
        <v>0.35858162468826338</v>
      </c>
      <c r="S323" s="307">
        <f t="shared" ca="1" si="137"/>
        <v>12.800861019742726</v>
      </c>
      <c r="T323" s="304">
        <f t="shared" ca="1" si="117"/>
        <v>125.57644660367615</v>
      </c>
      <c r="U323" s="311">
        <f t="shared" ca="1" si="118"/>
        <v>0</v>
      </c>
      <c r="V323" s="306">
        <f t="shared" ca="1" si="119"/>
        <v>1.1888003962810698</v>
      </c>
      <c r="W323" s="304">
        <f t="shared" ca="1" si="120"/>
        <v>88.041067884811795</v>
      </c>
      <c r="Y323" s="314" t="str">
        <f t="shared" ca="1" si="138"/>
        <v/>
      </c>
      <c r="Z323" s="315" t="str">
        <f t="shared" ca="1" si="139"/>
        <v/>
      </c>
      <c r="AA323" s="316" t="str">
        <f t="shared" ca="1" si="140"/>
        <v/>
      </c>
      <c r="AC323" s="310" t="e">
        <f t="shared" ca="1" si="141"/>
        <v>#N/A</v>
      </c>
      <c r="AD323" s="323" t="e">
        <f t="shared" ca="1" si="142"/>
        <v>#N/A</v>
      </c>
      <c r="AE323" s="324">
        <f t="shared" ca="1" si="121"/>
        <v>299.93866746150945</v>
      </c>
      <c r="AG323" s="306">
        <f t="shared" ca="1" si="143"/>
        <v>39.552084498940843</v>
      </c>
      <c r="AH323" s="304">
        <f t="shared" ca="1" si="144"/>
        <v>49.071581470233966</v>
      </c>
    </row>
    <row r="324" spans="1:34" x14ac:dyDescent="0.25">
      <c r="A324" s="347">
        <f t="shared" ca="1" si="122"/>
        <v>0.01</v>
      </c>
      <c r="B324" s="304">
        <f t="shared" ca="1" si="123"/>
        <v>3.1999999999999758</v>
      </c>
      <c r="D324" s="306">
        <f t="shared" ca="1" si="124"/>
        <v>11.83071706764089</v>
      </c>
      <c r="E324" s="307">
        <f t="shared" ca="1" si="125"/>
        <v>37.690231687924772</v>
      </c>
      <c r="F324" s="304">
        <f t="shared" ca="1" si="126"/>
        <v>39.50341037206811</v>
      </c>
      <c r="G324" s="306">
        <f t="shared" ca="1" si="127"/>
        <v>43.642849474328777</v>
      </c>
      <c r="H324" s="307">
        <f t="shared" ca="1" si="128"/>
        <v>175.12758156261557</v>
      </c>
      <c r="I324" s="304">
        <f t="shared" ca="1" si="129"/>
        <v>180.48370600752159</v>
      </c>
      <c r="J324" s="306">
        <f t="shared" ca="1" si="130"/>
        <v>69.302472574216296</v>
      </c>
      <c r="K324" s="307">
        <f t="shared" ca="1" si="131"/>
        <v>301.6880587655512</v>
      </c>
      <c r="L324" s="304">
        <f t="shared" ref="L324:L387" ca="1" si="145">SQRT(pos_x^2+pos_z^2)</f>
        <v>309.54566303960178</v>
      </c>
      <c r="M324" s="306">
        <f t="shared" ca="1" si="132"/>
        <v>1.32656506834207</v>
      </c>
      <c r="N324" s="304">
        <f t="shared" ca="1" si="133"/>
        <v>76.006579665484225</v>
      </c>
      <c r="P324" s="310">
        <f t="shared" ca="1" si="134"/>
        <v>10</v>
      </c>
      <c r="Q324" s="304">
        <f t="shared" ca="1" si="135"/>
        <v>714.48571428571756</v>
      </c>
      <c r="R324" s="306">
        <f t="shared" ca="1" si="136"/>
        <v>0.35790894422365305</v>
      </c>
      <c r="S324" s="307">
        <f t="shared" ca="1" si="137"/>
        <v>12.797281930300489</v>
      </c>
      <c r="T324" s="304">
        <f t="shared" ref="T324:T387" ca="1" si="146">m*g</f>
        <v>125.5413357362478</v>
      </c>
      <c r="U324" s="311">
        <f t="shared" ref="U324:U387" ca="1" si="147">IF(pos_xz&lt;L_rampe,Poids*COS(Beta),0)</f>
        <v>0</v>
      </c>
      <c r="V324" s="306">
        <f t="shared" ref="V324:V387" ca="1" si="148">Rho_moyen*(20000-Alt_rampe-pos_z)/(20000+Alt_rampe+pos_z)</f>
        <v>1.1885923997139507</v>
      </c>
      <c r="W324" s="304">
        <f t="shared" ref="W324:W387" ca="1" si="149">1/2*Rho*Sref*Cx*vit_xz^2</f>
        <v>88.411567758800942</v>
      </c>
      <c r="Y324" s="314" t="str">
        <f t="shared" ca="1" si="138"/>
        <v/>
      </c>
      <c r="Z324" s="315" t="str">
        <f t="shared" ca="1" si="139"/>
        <v/>
      </c>
      <c r="AA324" s="316" t="str">
        <f t="shared" ca="1" si="140"/>
        <v/>
      </c>
      <c r="AC324" s="310" t="e">
        <f t="shared" ca="1" si="141"/>
        <v>#N/A</v>
      </c>
      <c r="AD324" s="323" t="e">
        <f t="shared" ca="1" si="142"/>
        <v>#N/A</v>
      </c>
      <c r="AE324" s="324">
        <f t="shared" ref="AE324:AE387" ca="1" si="150">IF(t&lt;T_para, pos_z, NA())</f>
        <v>301.6880587655512</v>
      </c>
      <c r="AG324" s="306">
        <f t="shared" ca="1" si="143"/>
        <v>39.432197702953317</v>
      </c>
      <c r="AH324" s="304">
        <f t="shared" ca="1" si="144"/>
        <v>48.951382786813106</v>
      </c>
    </row>
    <row r="325" spans="1:34" x14ac:dyDescent="0.25">
      <c r="A325" s="347">
        <f t="shared" ref="A325:A388" ca="1" si="151">IF(B324+0.01&lt;=T_ini+ROUNDUP(Temps_fin_propu,0), 0.01, IF(K324&gt;0, 0.1, 0.0001))</f>
        <v>0.01</v>
      </c>
      <c r="B325" s="304">
        <f t="shared" ref="B325:B388" ca="1" si="152">B324+pas</f>
        <v>3.2099999999999755</v>
      </c>
      <c r="D325" s="306">
        <f t="shared" ref="D325:D388" ca="1" si="153">IF(AND(L324&lt;L_rampe,Poussee&lt;Poids*SIN(M324)),0,(-W324+Poussee)/m*COS(M324)-U324/m*SIN(M324))</f>
        <v>11.807878306363309</v>
      </c>
      <c r="E325" s="307">
        <f t="shared" ref="E325:E388" ca="1" si="154">IF(AND(L324&lt;L_rampe,Poussee&lt;Poids*SIN(M324)),0,(-W324+Poussee)/m*SIN(M324)+U324/m*COS(M324)-Poids/m)</f>
        <v>37.571992607871167</v>
      </c>
      <c r="F325" s="304">
        <f t="shared" ref="F325:F388" ca="1" si="155">SQRT(acc_x^2+acc_z^2)</f>
        <v>39.383760849159785</v>
      </c>
      <c r="G325" s="306">
        <f t="shared" ref="G325:G388" ca="1" si="156">G324+acc_x*pas</f>
        <v>43.760928257392408</v>
      </c>
      <c r="H325" s="307">
        <f t="shared" ref="H325:H388" ca="1" si="157">H324+acc_z*pas</f>
        <v>175.50330148869429</v>
      </c>
      <c r="I325" s="304">
        <f t="shared" ref="I325:I388" ca="1" si="158">SQRT(vit_x^2+vit_z^2)</f>
        <v>180.87683012309833</v>
      </c>
      <c r="J325" s="306">
        <f t="shared" ref="J325:J388" ca="1" si="159">J324+0.5*(vit_x+G324)*pas*(K324&gt;=0)</f>
        <v>69.739491462874895</v>
      </c>
      <c r="K325" s="307">
        <f t="shared" ref="K325:K388" ca="1" si="160">K324+0.5*(vit_z+H324)*pas</f>
        <v>303.44121318080778</v>
      </c>
      <c r="L325" s="304">
        <f t="shared" ca="1" si="145"/>
        <v>311.35215837719966</v>
      </c>
      <c r="M325" s="306">
        <f t="shared" ref="M325:M388" ca="1" si="161">IF(AND(L324&gt;L_rampe,G325&gt;0),ATAN2(G325,H325),$M$4)</f>
        <v>1.3264339204941431</v>
      </c>
      <c r="N325" s="304">
        <f t="shared" ref="N325:N388" ca="1" si="162">DEGREES(Beta)</f>
        <v>75.999065447305796</v>
      </c>
      <c r="P325" s="310">
        <f t="shared" ref="P325:P388" ca="1" si="163">MATCH(t-pas/2-T_ini,CdP_t)</f>
        <v>10</v>
      </c>
      <c r="Q325" s="304">
        <f t="shared" ref="Q325:Q388" ca="1" si="164">(INDEX(CdP,2,i_P+1)-INDEX(CdP,2,i_P+0))/(INDEX(CdP,1,i_P+1)-INDEX(CdP,1,i_P+0))*(t-pas/2-T_ini-INDEX(CdP,1,i_P+0))+INDEX(CdP,2,i_P+0)</f>
        <v>713.14285714286041</v>
      </c>
      <c r="R325" s="306">
        <f t="shared" ref="R325:R388" ca="1" si="165">Poussee/(g*ISP)</f>
        <v>0.35723626375904266</v>
      </c>
      <c r="S325" s="307">
        <f t="shared" ref="S325:S388" ca="1" si="166">S324-Débit*pas</f>
        <v>12.793709567662898</v>
      </c>
      <c r="T325" s="304">
        <f t="shared" ca="1" si="146"/>
        <v>125.50629085877303</v>
      </c>
      <c r="U325" s="311">
        <f t="shared" ca="1" si="147"/>
        <v>0</v>
      </c>
      <c r="V325" s="306">
        <f t="shared" ca="1" si="148"/>
        <v>1.188383991684604</v>
      </c>
      <c r="W325" s="304">
        <f t="shared" ca="1" si="149"/>
        <v>88.78156828503306</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f t="shared" ca="1" si="150"/>
        <v>303.44121318080778</v>
      </c>
      <c r="AG325" s="306">
        <f t="shared" ref="AG325:AG388" ca="1" si="172">IF(AND(L324&lt;L_rampe,Poussee&lt;Poids*SIN(M324)),0,(-W324+Poussee)/m-Poids*SIN(M324)/m)</f>
        <v>39.312256005786267</v>
      </c>
      <c r="AH325" s="304">
        <f t="shared" ref="AH325:AH388" ca="1" si="173">IF(AND(L324&lt;L_rampe,Poussee&lt;Poids*SIN(M324)), g*SIN(M324), (-W324+Poussee)/m)</f>
        <v>48.831129554724036</v>
      </c>
    </row>
    <row r="326" spans="1:34" x14ac:dyDescent="0.25">
      <c r="A326" s="347">
        <f t="shared" ca="1" si="151"/>
        <v>0.01</v>
      </c>
      <c r="B326" s="304">
        <f t="shared" ca="1" si="152"/>
        <v>3.2199999999999753</v>
      </c>
      <c r="D326" s="306">
        <f t="shared" ca="1" si="153"/>
        <v>11.784985453454867</v>
      </c>
      <c r="E326" s="307">
        <f t="shared" ca="1" si="154"/>
        <v>37.453710744713781</v>
      </c>
      <c r="F326" s="304">
        <f t="shared" ca="1" si="155"/>
        <v>39.264059019500664</v>
      </c>
      <c r="G326" s="306">
        <f t="shared" ca="1" si="156"/>
        <v>43.878778111926955</v>
      </c>
      <c r="H326" s="307">
        <f t="shared" ca="1" si="157"/>
        <v>175.87783859614143</v>
      </c>
      <c r="I326" s="304">
        <f t="shared" ca="1" si="158"/>
        <v>181.26875427896033</v>
      </c>
      <c r="J326" s="306">
        <f t="shared" ca="1" si="159"/>
        <v>70.17768999472149</v>
      </c>
      <c r="K326" s="307">
        <f t="shared" ca="1" si="160"/>
        <v>305.19811888123195</v>
      </c>
      <c r="L326" s="304">
        <f t="shared" ca="1" si="145"/>
        <v>313.16257749232716</v>
      </c>
      <c r="M326" s="306">
        <f t="shared" ca="1" si="161"/>
        <v>1.3263029873352628</v>
      </c>
      <c r="N326" s="304">
        <f t="shared" ca="1" si="162"/>
        <v>75.99156352990363</v>
      </c>
      <c r="P326" s="310">
        <f t="shared" ca="1" si="163"/>
        <v>10</v>
      </c>
      <c r="Q326" s="304">
        <f t="shared" ca="1" si="164"/>
        <v>711.80000000000337</v>
      </c>
      <c r="R326" s="306">
        <f t="shared" ca="1" si="165"/>
        <v>0.35656358329443238</v>
      </c>
      <c r="S326" s="307">
        <f t="shared" ca="1" si="166"/>
        <v>12.790143931829954</v>
      </c>
      <c r="T326" s="304">
        <f t="shared" ca="1" si="146"/>
        <v>125.47131197125185</v>
      </c>
      <c r="U326" s="311">
        <f t="shared" ca="1" si="147"/>
        <v>0</v>
      </c>
      <c r="V326" s="306">
        <f t="shared" ca="1" si="148"/>
        <v>1.1881751738209481</v>
      </c>
      <c r="W326" s="304">
        <f t="shared" ca="1" si="149"/>
        <v>89.151061152613309</v>
      </c>
      <c r="Y326" s="314" t="str">
        <f t="shared" ca="1" si="167"/>
        <v/>
      </c>
      <c r="Z326" s="315" t="str">
        <f t="shared" ca="1" si="168"/>
        <v/>
      </c>
      <c r="AA326" s="316" t="str">
        <f t="shared" ca="1" si="169"/>
        <v/>
      </c>
      <c r="AC326" s="310" t="e">
        <f t="shared" ca="1" si="170"/>
        <v>#N/A</v>
      </c>
      <c r="AD326" s="323" t="e">
        <f t="shared" ca="1" si="171"/>
        <v>#N/A</v>
      </c>
      <c r="AE326" s="324">
        <f t="shared" ca="1" si="150"/>
        <v>305.19811888123195</v>
      </c>
      <c r="AG326" s="306">
        <f t="shared" ca="1" si="172"/>
        <v>39.192260207227214</v>
      </c>
      <c r="AH326" s="304">
        <f t="shared" ca="1" si="173"/>
        <v>48.710822570534731</v>
      </c>
    </row>
    <row r="327" spans="1:34" x14ac:dyDescent="0.25">
      <c r="A327" s="347">
        <f t="shared" ca="1" si="151"/>
        <v>0.01</v>
      </c>
      <c r="B327" s="304">
        <f t="shared" ca="1" si="152"/>
        <v>3.2299999999999751</v>
      </c>
      <c r="D327" s="306">
        <f t="shared" ca="1" si="153"/>
        <v>11.762038838629483</v>
      </c>
      <c r="E327" s="307">
        <f t="shared" ca="1" si="154"/>
        <v>37.33538684612374</v>
      </c>
      <c r="F327" s="304">
        <f t="shared" ca="1" si="155"/>
        <v>39.144305698161745</v>
      </c>
      <c r="G327" s="306">
        <f t="shared" ca="1" si="156"/>
        <v>43.996398500313248</v>
      </c>
      <c r="H327" s="307">
        <f t="shared" ca="1" si="157"/>
        <v>176.25119246460267</v>
      </c>
      <c r="I327" s="304">
        <f t="shared" ca="1" si="158"/>
        <v>181.65947794209026</v>
      </c>
      <c r="J327" s="306">
        <f t="shared" ca="1" si="159"/>
        <v>70.617065877782693</v>
      </c>
      <c r="K327" s="307">
        <f t="shared" ca="1" si="160"/>
        <v>306.95876403653568</v>
      </c>
      <c r="L327" s="304">
        <f t="shared" ca="1" si="145"/>
        <v>314.97690837905037</v>
      </c>
      <c r="M327" s="306">
        <f t="shared" ca="1" si="161"/>
        <v>1.3261722671899459</v>
      </c>
      <c r="N327" s="304">
        <f t="shared" ca="1" si="162"/>
        <v>75.984073817279636</v>
      </c>
      <c r="P327" s="310">
        <f t="shared" ca="1" si="163"/>
        <v>10</v>
      </c>
      <c r="Q327" s="304">
        <f t="shared" ca="1" si="164"/>
        <v>710.45714285714621</v>
      </c>
      <c r="R327" s="306">
        <f t="shared" ca="1" si="165"/>
        <v>0.355890902829822</v>
      </c>
      <c r="S327" s="307">
        <f t="shared" ca="1" si="166"/>
        <v>12.786585022801656</v>
      </c>
      <c r="T327" s="304">
        <f t="shared" ca="1" si="146"/>
        <v>125.43639907368426</v>
      </c>
      <c r="U327" s="311">
        <f t="shared" ca="1" si="147"/>
        <v>0</v>
      </c>
      <c r="V327" s="306">
        <f t="shared" ca="1" si="148"/>
        <v>1.1879659477508082</v>
      </c>
      <c r="W327" s="304">
        <f t="shared" ca="1" si="149"/>
        <v>89.520038085916241</v>
      </c>
      <c r="Y327" s="314" t="str">
        <f t="shared" ca="1" si="167"/>
        <v/>
      </c>
      <c r="Z327" s="315" t="str">
        <f t="shared" ca="1" si="168"/>
        <v/>
      </c>
      <c r="AA327" s="316" t="str">
        <f t="shared" ca="1" si="169"/>
        <v/>
      </c>
      <c r="AC327" s="310" t="e">
        <f t="shared" ca="1" si="170"/>
        <v>#N/A</v>
      </c>
      <c r="AD327" s="323" t="e">
        <f t="shared" ca="1" si="171"/>
        <v>#N/A</v>
      </c>
      <c r="AE327" s="324">
        <f t="shared" ca="1" si="150"/>
        <v>306.95876403653568</v>
      </c>
      <c r="AG327" s="306">
        <f t="shared" ca="1" si="172"/>
        <v>39.072211105348842</v>
      </c>
      <c r="AH327" s="304">
        <f t="shared" ca="1" si="173"/>
        <v>48.590462629121838</v>
      </c>
    </row>
    <row r="328" spans="1:34" x14ac:dyDescent="0.25">
      <c r="A328" s="347">
        <f t="shared" ca="1" si="151"/>
        <v>0.01</v>
      </c>
      <c r="B328" s="304">
        <f t="shared" ca="1" si="152"/>
        <v>3.2399999999999749</v>
      </c>
      <c r="D328" s="306">
        <f t="shared" ca="1" si="153"/>
        <v>11.739038790196796</v>
      </c>
      <c r="E328" s="307">
        <f t="shared" ca="1" si="154"/>
        <v>37.217021658276884</v>
      </c>
      <c r="F328" s="304">
        <f t="shared" ca="1" si="155"/>
        <v>39.024501698681505</v>
      </c>
      <c r="G328" s="306">
        <f t="shared" ca="1" si="156"/>
        <v>44.113788888215218</v>
      </c>
      <c r="H328" s="307">
        <f t="shared" ca="1" si="157"/>
        <v>176.62336268118543</v>
      </c>
      <c r="I328" s="304">
        <f t="shared" ca="1" si="158"/>
        <v>182.04900058743411</v>
      </c>
      <c r="J328" s="306">
        <f t="shared" ca="1" si="159"/>
        <v>71.057616814725336</v>
      </c>
      <c r="K328" s="307">
        <f t="shared" ca="1" si="160"/>
        <v>308.72313681226461</v>
      </c>
      <c r="L328" s="304">
        <f t="shared" ca="1" si="145"/>
        <v>316.79513902614195</v>
      </c>
      <c r="M328" s="306">
        <f t="shared" ca="1" si="161"/>
        <v>1.3260417583964494</v>
      </c>
      <c r="N328" s="304">
        <f t="shared" ca="1" si="162"/>
        <v>75.976596214222951</v>
      </c>
      <c r="P328" s="310">
        <f t="shared" ca="1" si="163"/>
        <v>10</v>
      </c>
      <c r="Q328" s="304">
        <f t="shared" ca="1" si="164"/>
        <v>709.11428571428905</v>
      </c>
      <c r="R328" s="306">
        <f t="shared" ca="1" si="165"/>
        <v>0.35521822236521161</v>
      </c>
      <c r="S328" s="307">
        <f t="shared" ca="1" si="166"/>
        <v>12.783032840578004</v>
      </c>
      <c r="T328" s="304">
        <f t="shared" ca="1" si="146"/>
        <v>125.40155216607023</v>
      </c>
      <c r="U328" s="311">
        <f t="shared" ca="1" si="147"/>
        <v>0</v>
      </c>
      <c r="V328" s="306">
        <f t="shared" ca="1" si="148"/>
        <v>1.1877563151019073</v>
      </c>
      <c r="W328" s="304">
        <f t="shared" ca="1" si="149"/>
        <v>89.888490844687425</v>
      </c>
      <c r="Y328" s="314" t="str">
        <f t="shared" ca="1" si="167"/>
        <v/>
      </c>
      <c r="Z328" s="315" t="str">
        <f t="shared" ca="1" si="168"/>
        <v/>
      </c>
      <c r="AA328" s="316" t="str">
        <f t="shared" ca="1" si="169"/>
        <v/>
      </c>
      <c r="AC328" s="310" t="e">
        <f t="shared" ca="1" si="170"/>
        <v>#N/A</v>
      </c>
      <c r="AD328" s="323" t="e">
        <f t="shared" ca="1" si="171"/>
        <v>#N/A</v>
      </c>
      <c r="AE328" s="324">
        <f t="shared" ca="1" si="150"/>
        <v>308.72313681226461</v>
      </c>
      <c r="AG328" s="306">
        <f t="shared" ca="1" si="172"/>
        <v>38.952109496494785</v>
      </c>
      <c r="AH328" s="304">
        <f t="shared" ca="1" si="173"/>
        <v>48.470050523656241</v>
      </c>
    </row>
    <row r="329" spans="1:34" x14ac:dyDescent="0.25">
      <c r="A329" s="347">
        <f t="shared" ca="1" si="151"/>
        <v>0.01</v>
      </c>
      <c r="B329" s="304">
        <f t="shared" ca="1" si="152"/>
        <v>3.2499999999999747</v>
      </c>
      <c r="D329" s="306">
        <f t="shared" ca="1" si="153"/>
        <v>11.715985635071352</v>
      </c>
      <c r="E329" s="307">
        <f t="shared" ca="1" si="154"/>
        <v>37.098615925837507</v>
      </c>
      <c r="F329" s="304">
        <f t="shared" ca="1" si="155"/>
        <v>38.904647833054632</v>
      </c>
      <c r="G329" s="306">
        <f t="shared" ca="1" si="156"/>
        <v>44.230948744565929</v>
      </c>
      <c r="H329" s="307">
        <f t="shared" ca="1" si="157"/>
        <v>176.99434884044379</v>
      </c>
      <c r="I329" s="304">
        <f t="shared" ca="1" si="158"/>
        <v>182.43732169788376</v>
      </c>
      <c r="J329" s="306">
        <f t="shared" ca="1" si="159"/>
        <v>71.49934050288924</v>
      </c>
      <c r="K329" s="307">
        <f t="shared" ca="1" si="160"/>
        <v>310.49122536987278</v>
      </c>
      <c r="L329" s="304">
        <f t="shared" ca="1" si="145"/>
        <v>318.61725741716066</v>
      </c>
      <c r="M329" s="306">
        <f t="shared" ca="1" si="161"/>
        <v>1.3259114593066026</v>
      </c>
      <c r="N329" s="304">
        <f t="shared" ca="1" si="162"/>
        <v>75.969130626300327</v>
      </c>
      <c r="P329" s="310">
        <f t="shared" ca="1" si="163"/>
        <v>10</v>
      </c>
      <c r="Q329" s="304">
        <f t="shared" ca="1" si="164"/>
        <v>707.77142857143201</v>
      </c>
      <c r="R329" s="306">
        <f t="shared" ca="1" si="165"/>
        <v>0.35454554190060128</v>
      </c>
      <c r="S329" s="307">
        <f t="shared" ca="1" si="166"/>
        <v>12.779487385158998</v>
      </c>
      <c r="T329" s="304">
        <f t="shared" ca="1" si="146"/>
        <v>125.36677124840978</v>
      </c>
      <c r="U329" s="311">
        <f t="shared" ca="1" si="147"/>
        <v>0</v>
      </c>
      <c r="V329" s="306">
        <f t="shared" ca="1" si="148"/>
        <v>1.1875462775018466</v>
      </c>
      <c r="W329" s="304">
        <f t="shared" ca="1" si="149"/>
        <v>90.25641122414261</v>
      </c>
      <c r="Y329" s="314" t="str">
        <f t="shared" ca="1" si="167"/>
        <v/>
      </c>
      <c r="Z329" s="315" t="str">
        <f t="shared" ca="1" si="168"/>
        <v/>
      </c>
      <c r="AA329" s="316" t="str">
        <f t="shared" ca="1" si="169"/>
        <v/>
      </c>
      <c r="AC329" s="310" t="e">
        <f t="shared" ca="1" si="170"/>
        <v>#N/A</v>
      </c>
      <c r="AD329" s="323" t="e">
        <f t="shared" ca="1" si="171"/>
        <v>#N/A</v>
      </c>
      <c r="AE329" s="324">
        <f t="shared" ca="1" si="150"/>
        <v>310.49122536987278</v>
      </c>
      <c r="AG329" s="306">
        <f t="shared" ca="1" si="172"/>
        <v>38.831956175265368</v>
      </c>
      <c r="AH329" s="304">
        <f t="shared" ca="1" si="173"/>
        <v>48.349587045588457</v>
      </c>
    </row>
    <row r="330" spans="1:34" x14ac:dyDescent="0.25">
      <c r="A330" s="347">
        <f t="shared" ca="1" si="151"/>
        <v>0.01</v>
      </c>
      <c r="B330" s="304">
        <f t="shared" ca="1" si="152"/>
        <v>3.2599999999999745</v>
      </c>
      <c r="D330" s="306">
        <f t="shared" ca="1" si="153"/>
        <v>11.693286439398317</v>
      </c>
      <c r="E330" s="307">
        <f t="shared" ca="1" si="154"/>
        <v>36.981798003210749</v>
      </c>
      <c r="F330" s="304">
        <f t="shared" ca="1" si="155"/>
        <v>38.786419418452375</v>
      </c>
      <c r="G330" s="306">
        <f t="shared" ca="1" si="156"/>
        <v>44.347881608959909</v>
      </c>
      <c r="H330" s="307">
        <f t="shared" ca="1" si="157"/>
        <v>177.3641668204759</v>
      </c>
      <c r="I330" s="304">
        <f t="shared" ca="1" si="158"/>
        <v>182.82445754089886</v>
      </c>
      <c r="J330" s="306">
        <f t="shared" ca="1" si="159"/>
        <v>71.942234654656872</v>
      </c>
      <c r="K330" s="307">
        <f t="shared" ca="1" si="160"/>
        <v>312.26301794817738</v>
      </c>
      <c r="L330" s="304">
        <f t="shared" ca="1" si="145"/>
        <v>320.44325161439968</v>
      </c>
      <c r="M330" s="306">
        <f t="shared" ca="1" si="161"/>
        <v>1.3257813682975788</v>
      </c>
      <c r="N330" s="304">
        <f t="shared" ca="1" si="162"/>
        <v>75.961676960530667</v>
      </c>
      <c r="P330" s="310">
        <f t="shared" ca="1" si="163"/>
        <v>11</v>
      </c>
      <c r="Q330" s="304">
        <f t="shared" ca="1" si="164"/>
        <v>706.45000000000334</v>
      </c>
      <c r="R330" s="306">
        <f t="shared" ca="1" si="165"/>
        <v>0.35388359569872402</v>
      </c>
      <c r="S330" s="307">
        <f t="shared" ca="1" si="166"/>
        <v>12.77594854920201</v>
      </c>
      <c r="T330" s="304">
        <f t="shared" ca="1" si="146"/>
        <v>125.33205526767172</v>
      </c>
      <c r="U330" s="311">
        <f t="shared" ca="1" si="147"/>
        <v>0</v>
      </c>
      <c r="V330" s="306">
        <f t="shared" ca="1" si="148"/>
        <v>1.1873358365684301</v>
      </c>
      <c r="W330" s="304">
        <f t="shared" ca="1" si="149"/>
        <v>90.623807686270169</v>
      </c>
      <c r="Y330" s="314" t="str">
        <f t="shared" ca="1" si="167"/>
        <v/>
      </c>
      <c r="Z330" s="315" t="str">
        <f t="shared" ca="1" si="168"/>
        <v/>
      </c>
      <c r="AA330" s="316" t="str">
        <f t="shared" ca="1" si="169"/>
        <v/>
      </c>
      <c r="AC330" s="310" t="e">
        <f t="shared" ca="1" si="170"/>
        <v>#N/A</v>
      </c>
      <c r="AD330" s="323" t="e">
        <f t="shared" ca="1" si="171"/>
        <v>#N/A</v>
      </c>
      <c r="AE330" s="324">
        <f t="shared" ca="1" si="150"/>
        <v>312.26301794817738</v>
      </c>
      <c r="AG330" s="306">
        <f t="shared" ca="1" si="172"/>
        <v>38.713429598465723</v>
      </c>
      <c r="AH330" s="304">
        <f t="shared" ca="1" si="173"/>
        <v>48.230750648596526</v>
      </c>
    </row>
    <row r="331" spans="1:34" x14ac:dyDescent="0.25">
      <c r="A331" s="347">
        <f t="shared" ca="1" si="151"/>
        <v>0.01</v>
      </c>
      <c r="B331" s="304">
        <f t="shared" ca="1" si="152"/>
        <v>3.2699999999999743</v>
      </c>
      <c r="D331" s="306">
        <f t="shared" ca="1" si="153"/>
        <v>11.670942281095032</v>
      </c>
      <c r="E331" s="307">
        <f t="shared" ca="1" si="154"/>
        <v>36.866568949757166</v>
      </c>
      <c r="F331" s="304">
        <f t="shared" ca="1" si="155"/>
        <v>38.669817685836726</v>
      </c>
      <c r="G331" s="306">
        <f t="shared" ca="1" si="156"/>
        <v>44.464591031770858</v>
      </c>
      <c r="H331" s="307">
        <f t="shared" ca="1" si="157"/>
        <v>177.73283250997346</v>
      </c>
      <c r="I331" s="304">
        <f t="shared" ca="1" si="158"/>
        <v>183.21042439676003</v>
      </c>
      <c r="J331" s="306">
        <f t="shared" ca="1" si="159"/>
        <v>72.386297017860528</v>
      </c>
      <c r="K331" s="307">
        <f t="shared" ca="1" si="160"/>
        <v>314.03850294482965</v>
      </c>
      <c r="L331" s="304">
        <f t="shared" ca="1" si="145"/>
        <v>322.27310984285936</v>
      </c>
      <c r="M331" s="306">
        <f t="shared" ca="1" si="161"/>
        <v>1.3256514837715665</v>
      </c>
      <c r="N331" s="304">
        <f t="shared" ca="1" si="162"/>
        <v>75.954235125366097</v>
      </c>
      <c r="P331" s="310">
        <f t="shared" ca="1" si="163"/>
        <v>11</v>
      </c>
      <c r="Q331" s="304">
        <f t="shared" ca="1" si="164"/>
        <v>705.15000000000339</v>
      </c>
      <c r="R331" s="306">
        <f t="shared" ca="1" si="165"/>
        <v>0.35323238375957994</v>
      </c>
      <c r="S331" s="307">
        <f t="shared" ca="1" si="166"/>
        <v>12.772416225364413</v>
      </c>
      <c r="T331" s="304">
        <f t="shared" ca="1" si="146"/>
        <v>125.29740317082489</v>
      </c>
      <c r="U331" s="311">
        <f t="shared" ca="1" si="147"/>
        <v>0</v>
      </c>
      <c r="V331" s="306">
        <f t="shared" ca="1" si="148"/>
        <v>1.1871249938999922</v>
      </c>
      <c r="W331" s="304">
        <f t="shared" ca="1" si="149"/>
        <v>90.990688860708303</v>
      </c>
      <c r="Y331" s="314" t="str">
        <f t="shared" ca="1" si="167"/>
        <v/>
      </c>
      <c r="Z331" s="315" t="str">
        <f t="shared" ca="1" si="168"/>
        <v/>
      </c>
      <c r="AA331" s="316" t="str">
        <f t="shared" ca="1" si="169"/>
        <v/>
      </c>
      <c r="AC331" s="310" t="e">
        <f t="shared" ca="1" si="170"/>
        <v>#N/A</v>
      </c>
      <c r="AD331" s="323" t="e">
        <f t="shared" ca="1" si="171"/>
        <v>#N/A</v>
      </c>
      <c r="AE331" s="324">
        <f t="shared" ca="1" si="150"/>
        <v>314.03850294482965</v>
      </c>
      <c r="AG331" s="306">
        <f t="shared" ca="1" si="172"/>
        <v>38.596531048214707</v>
      </c>
      <c r="AH331" s="304">
        <f t="shared" ca="1" si="173"/>
        <v>48.11354261172302</v>
      </c>
    </row>
    <row r="332" spans="1:34" x14ac:dyDescent="0.25">
      <c r="A332" s="347">
        <f t="shared" ca="1" si="151"/>
        <v>0.01</v>
      </c>
      <c r="B332" s="304">
        <f t="shared" ca="1" si="152"/>
        <v>3.279999999999974</v>
      </c>
      <c r="D332" s="306">
        <f t="shared" ca="1" si="153"/>
        <v>11.648546841436261</v>
      </c>
      <c r="E332" s="307">
        <f t="shared" ca="1" si="154"/>
        <v>36.751301402148904</v>
      </c>
      <c r="F332" s="304">
        <f t="shared" ca="1" si="155"/>
        <v>38.553168459527768</v>
      </c>
      <c r="G332" s="306">
        <f t="shared" ca="1" si="156"/>
        <v>44.581076500185219</v>
      </c>
      <c r="H332" s="307">
        <f t="shared" ca="1" si="157"/>
        <v>178.10034552399495</v>
      </c>
      <c r="I332" s="304">
        <f t="shared" ca="1" si="158"/>
        <v>183.59522177246814</v>
      </c>
      <c r="J332" s="306">
        <f t="shared" ca="1" si="159"/>
        <v>72.831525355520313</v>
      </c>
      <c r="K332" s="307">
        <f t="shared" ca="1" si="160"/>
        <v>315.81766883499949</v>
      </c>
      <c r="L332" s="304">
        <f t="shared" ca="1" si="145"/>
        <v>324.10682040645986</v>
      </c>
      <c r="M332" s="306">
        <f t="shared" ca="1" si="161"/>
        <v>1.3255218041435903</v>
      </c>
      <c r="N332" s="304">
        <f t="shared" ca="1" si="162"/>
        <v>75.946805029994238</v>
      </c>
      <c r="P332" s="310">
        <f t="shared" ca="1" si="163"/>
        <v>11</v>
      </c>
      <c r="Q332" s="304">
        <f t="shared" ca="1" si="164"/>
        <v>703.85000000000343</v>
      </c>
      <c r="R332" s="306">
        <f t="shared" ca="1" si="165"/>
        <v>0.35258117182043586</v>
      </c>
      <c r="S332" s="307">
        <f t="shared" ca="1" si="166"/>
        <v>12.76889041364621</v>
      </c>
      <c r="T332" s="304">
        <f t="shared" ca="1" si="146"/>
        <v>125.26281495786932</v>
      </c>
      <c r="U332" s="311">
        <f t="shared" ca="1" si="147"/>
        <v>0</v>
      </c>
      <c r="V332" s="306">
        <f t="shared" ca="1" si="148"/>
        <v>1.1869137510850618</v>
      </c>
      <c r="W332" s="304">
        <f t="shared" ca="1" si="149"/>
        <v>91.35704683882615</v>
      </c>
      <c r="Y332" s="314" t="str">
        <f t="shared" ca="1" si="167"/>
        <v/>
      </c>
      <c r="Z332" s="315" t="str">
        <f t="shared" ca="1" si="168"/>
        <v/>
      </c>
      <c r="AA332" s="316" t="str">
        <f t="shared" ca="1" si="169"/>
        <v/>
      </c>
      <c r="AC332" s="310" t="e">
        <f t="shared" ca="1" si="170"/>
        <v>#N/A</v>
      </c>
      <c r="AD332" s="323" t="e">
        <f t="shared" ca="1" si="171"/>
        <v>#N/A</v>
      </c>
      <c r="AE332" s="324">
        <f t="shared" ca="1" si="150"/>
        <v>315.81766883499949</v>
      </c>
      <c r="AG332" s="306">
        <f t="shared" ca="1" si="172"/>
        <v>38.479583196551161</v>
      </c>
      <c r="AH332" s="304">
        <f t="shared" ca="1" si="173"/>
        <v>47.996285603980738</v>
      </c>
    </row>
    <row r="333" spans="1:34" x14ac:dyDescent="0.25">
      <c r="A333" s="347">
        <f t="shared" ca="1" si="151"/>
        <v>0.01</v>
      </c>
      <c r="B333" s="304">
        <f t="shared" ca="1" si="152"/>
        <v>3.2899999999999738</v>
      </c>
      <c r="D333" s="306">
        <f t="shared" ca="1" si="153"/>
        <v>11.626100432426162</v>
      </c>
      <c r="E333" s="307">
        <f t="shared" ca="1" si="154"/>
        <v>36.635996074212422</v>
      </c>
      <c r="F333" s="304">
        <f t="shared" ca="1" si="155"/>
        <v>38.436472517838681</v>
      </c>
      <c r="G333" s="306">
        <f t="shared" ca="1" si="156"/>
        <v>44.697337504509484</v>
      </c>
      <c r="H333" s="307">
        <f t="shared" ca="1" si="157"/>
        <v>178.46670548473708</v>
      </c>
      <c r="I333" s="304">
        <f t="shared" ca="1" si="158"/>
        <v>183.97884918263813</v>
      </c>
      <c r="J333" s="306">
        <f t="shared" ca="1" si="159"/>
        <v>73.277917425543791</v>
      </c>
      <c r="K333" s="307">
        <f t="shared" ca="1" si="160"/>
        <v>317.60050409004316</v>
      </c>
      <c r="L333" s="304">
        <f t="shared" ca="1" si="145"/>
        <v>325.94437160422683</v>
      </c>
      <c r="M333" s="306">
        <f t="shared" ca="1" si="161"/>
        <v>1.3253923278413557</v>
      </c>
      <c r="N333" s="304">
        <f t="shared" ca="1" si="162"/>
        <v>75.939386584329242</v>
      </c>
      <c r="P333" s="310">
        <f t="shared" ca="1" si="163"/>
        <v>11</v>
      </c>
      <c r="Q333" s="304">
        <f t="shared" ca="1" si="164"/>
        <v>702.55000000000337</v>
      </c>
      <c r="R333" s="306">
        <f t="shared" ca="1" si="165"/>
        <v>0.35192995988129178</v>
      </c>
      <c r="S333" s="307">
        <f t="shared" ca="1" si="166"/>
        <v>12.765371114047397</v>
      </c>
      <c r="T333" s="304">
        <f t="shared" ca="1" si="146"/>
        <v>125.22829062880497</v>
      </c>
      <c r="U333" s="311">
        <f t="shared" ca="1" si="147"/>
        <v>0</v>
      </c>
      <c r="V333" s="306">
        <f t="shared" ca="1" si="148"/>
        <v>1.1867021097120223</v>
      </c>
      <c r="W333" s="304">
        <f t="shared" ca="1" si="149"/>
        <v>91.722873746028995</v>
      </c>
      <c r="Y333" s="314" t="str">
        <f t="shared" ca="1" si="167"/>
        <v/>
      </c>
      <c r="Z333" s="315" t="str">
        <f t="shared" ca="1" si="168"/>
        <v/>
      </c>
      <c r="AA333" s="316" t="str">
        <f t="shared" ca="1" si="169"/>
        <v/>
      </c>
      <c r="AC333" s="310" t="e">
        <f t="shared" ca="1" si="170"/>
        <v>#N/A</v>
      </c>
      <c r="AD333" s="323" t="e">
        <f t="shared" ca="1" si="171"/>
        <v>#N/A</v>
      </c>
      <c r="AE333" s="324">
        <f t="shared" ca="1" si="150"/>
        <v>317.60050409004316</v>
      </c>
      <c r="AG333" s="306">
        <f t="shared" ca="1" si="172"/>
        <v>38.362586804892416</v>
      </c>
      <c r="AH333" s="304">
        <f t="shared" ca="1" si="173"/>
        <v>47.878980383782356</v>
      </c>
    </row>
    <row r="334" spans="1:34" x14ac:dyDescent="0.25">
      <c r="A334" s="347">
        <f t="shared" ca="1" si="151"/>
        <v>0.01</v>
      </c>
      <c r="B334" s="304">
        <f t="shared" ca="1" si="152"/>
        <v>3.2999999999999736</v>
      </c>
      <c r="D334" s="306">
        <f t="shared" ca="1" si="153"/>
        <v>11.603603364773873</v>
      </c>
      <c r="E334" s="307">
        <f t="shared" ca="1" si="154"/>
        <v>36.520653678283992</v>
      </c>
      <c r="F334" s="304">
        <f t="shared" ca="1" si="155"/>
        <v>38.319730637572981</v>
      </c>
      <c r="G334" s="306">
        <f t="shared" ca="1" si="156"/>
        <v>44.813373538157222</v>
      </c>
      <c r="H334" s="307">
        <f t="shared" ca="1" si="157"/>
        <v>178.83191202151991</v>
      </c>
      <c r="I334" s="304">
        <f t="shared" ca="1" si="158"/>
        <v>184.36130614948206</v>
      </c>
      <c r="J334" s="306">
        <f t="shared" ca="1" si="159"/>
        <v>73.725470980757123</v>
      </c>
      <c r="K334" s="307">
        <f t="shared" ca="1" si="160"/>
        <v>319.38699717757447</v>
      </c>
      <c r="L334" s="304">
        <f t="shared" ca="1" si="145"/>
        <v>327.78575173036796</v>
      </c>
      <c r="M334" s="306">
        <f t="shared" ca="1" si="161"/>
        <v>1.3252630533050989</v>
      </c>
      <c r="N334" s="304">
        <f t="shared" ca="1" si="162"/>
        <v>75.931979699003207</v>
      </c>
      <c r="P334" s="310">
        <f t="shared" ca="1" si="163"/>
        <v>11</v>
      </c>
      <c r="Q334" s="304">
        <f t="shared" ca="1" si="164"/>
        <v>701.25000000000341</v>
      </c>
      <c r="R334" s="306">
        <f t="shared" ca="1" si="165"/>
        <v>0.3512787479421477</v>
      </c>
      <c r="S334" s="307">
        <f t="shared" ca="1" si="166"/>
        <v>12.761858326567976</v>
      </c>
      <c r="T334" s="304">
        <f t="shared" ca="1" si="146"/>
        <v>125.19383018363186</v>
      </c>
      <c r="U334" s="311">
        <f t="shared" ca="1" si="147"/>
        <v>0</v>
      </c>
      <c r="V334" s="306">
        <f t="shared" ca="1" si="148"/>
        <v>1.1864900713690947</v>
      </c>
      <c r="W334" s="304">
        <f t="shared" ca="1" si="149"/>
        <v>92.088161741848708</v>
      </c>
      <c r="Y334" s="314" t="str">
        <f t="shared" ca="1" si="167"/>
        <v/>
      </c>
      <c r="Z334" s="315" t="str">
        <f t="shared" ca="1" si="168"/>
        <v/>
      </c>
      <c r="AA334" s="316" t="str">
        <f t="shared" ca="1" si="169"/>
        <v/>
      </c>
      <c r="AC334" s="310" t="e">
        <f t="shared" ca="1" si="170"/>
        <v>#N/A</v>
      </c>
      <c r="AD334" s="323" t="e">
        <f t="shared" ca="1" si="171"/>
        <v>#N/A</v>
      </c>
      <c r="AE334" s="324">
        <f t="shared" ca="1" si="150"/>
        <v>319.38699717757447</v>
      </c>
      <c r="AG334" s="306">
        <f t="shared" ca="1" si="172"/>
        <v>38.245542632952628</v>
      </c>
      <c r="AH334" s="304">
        <f t="shared" ca="1" si="173"/>
        <v>47.761627707858551</v>
      </c>
    </row>
    <row r="335" spans="1:34" x14ac:dyDescent="0.25">
      <c r="A335" s="347">
        <f t="shared" ca="1" si="151"/>
        <v>0.01</v>
      </c>
      <c r="B335" s="304">
        <f t="shared" ca="1" si="152"/>
        <v>3.3099999999999734</v>
      </c>
      <c r="D335" s="306">
        <f t="shared" ca="1" si="153"/>
        <v>11.581055947901337</v>
      </c>
      <c r="E335" s="307">
        <f t="shared" ca="1" si="154"/>
        <v>36.405274925194945</v>
      </c>
      <c r="F335" s="304">
        <f t="shared" ca="1" si="155"/>
        <v>38.202943594014435</v>
      </c>
      <c r="G335" s="306">
        <f t="shared" ca="1" si="156"/>
        <v>44.929184097636238</v>
      </c>
      <c r="H335" s="307">
        <f t="shared" ca="1" si="157"/>
        <v>179.19596477077187</v>
      </c>
      <c r="I335" s="304">
        <f t="shared" ca="1" si="158"/>
        <v>184.74259220279171</v>
      </c>
      <c r="J335" s="306">
        <f t="shared" ca="1" si="159"/>
        <v>74.174183768936089</v>
      </c>
      <c r="K335" s="307">
        <f t="shared" ca="1" si="160"/>
        <v>321.17713656153592</v>
      </c>
      <c r="L335" s="304">
        <f t="shared" ca="1" si="145"/>
        <v>329.630949074348</v>
      </c>
      <c r="M335" s="306">
        <f t="shared" ca="1" si="161"/>
        <v>1.3251339789874368</v>
      </c>
      <c r="N335" s="304">
        <f t="shared" ca="1" si="162"/>
        <v>75.924584285357639</v>
      </c>
      <c r="P335" s="310">
        <f t="shared" ca="1" si="163"/>
        <v>11</v>
      </c>
      <c r="Q335" s="304">
        <f t="shared" ca="1" si="164"/>
        <v>699.95000000000346</v>
      </c>
      <c r="R335" s="306">
        <f t="shared" ca="1" si="165"/>
        <v>0.35062753600300361</v>
      </c>
      <c r="S335" s="307">
        <f t="shared" ca="1" si="166"/>
        <v>12.758352051207947</v>
      </c>
      <c r="T335" s="304">
        <f t="shared" ca="1" si="146"/>
        <v>125.15943362234997</v>
      </c>
      <c r="U335" s="311">
        <f t="shared" ca="1" si="147"/>
        <v>0</v>
      </c>
      <c r="V335" s="306">
        <f t="shared" ca="1" si="148"/>
        <v>1.1862776376443267</v>
      </c>
      <c r="W335" s="304">
        <f t="shared" ca="1" si="149"/>
        <v>92.452903020032394</v>
      </c>
      <c r="Y335" s="314" t="str">
        <f t="shared" ca="1" si="167"/>
        <v/>
      </c>
      <c r="Z335" s="315" t="str">
        <f t="shared" ca="1" si="168"/>
        <v/>
      </c>
      <c r="AA335" s="316" t="str">
        <f t="shared" ca="1" si="169"/>
        <v/>
      </c>
      <c r="AC335" s="310" t="e">
        <f t="shared" ca="1" si="170"/>
        <v>#N/A</v>
      </c>
      <c r="AD335" s="323" t="e">
        <f t="shared" ca="1" si="171"/>
        <v>#N/A</v>
      </c>
      <c r="AE335" s="324">
        <f t="shared" ca="1" si="150"/>
        <v>321.17713656153592</v>
      </c>
      <c r="AG335" s="306">
        <f t="shared" ca="1" si="172"/>
        <v>38.128451438729712</v>
      </c>
      <c r="AH335" s="304">
        <f t="shared" ca="1" si="173"/>
        <v>47.644228331244634</v>
      </c>
    </row>
    <row r="336" spans="1:34" x14ac:dyDescent="0.25">
      <c r="A336" s="347">
        <f t="shared" ca="1" si="151"/>
        <v>0.01</v>
      </c>
      <c r="B336" s="304">
        <f t="shared" ca="1" si="152"/>
        <v>3.3199999999999732</v>
      </c>
      <c r="D336" s="306">
        <f t="shared" ca="1" si="153"/>
        <v>11.558458489951086</v>
      </c>
      <c r="E336" s="307">
        <f t="shared" ca="1" si="154"/>
        <v>36.289860524257165</v>
      </c>
      <c r="F336" s="304">
        <f t="shared" ca="1" si="155"/>
        <v>38.086112160917146</v>
      </c>
      <c r="G336" s="306">
        <f t="shared" ca="1" si="156"/>
        <v>45.044768682535747</v>
      </c>
      <c r="H336" s="307">
        <f t="shared" ca="1" si="157"/>
        <v>179.55886337601444</v>
      </c>
      <c r="I336" s="304">
        <f t="shared" ca="1" si="158"/>
        <v>185.12270687992162</v>
      </c>
      <c r="J336" s="306">
        <f t="shared" ca="1" si="159"/>
        <v>74.624053532836953</v>
      </c>
      <c r="K336" s="307">
        <f t="shared" ca="1" si="160"/>
        <v>322.97091070226986</v>
      </c>
      <c r="L336" s="304">
        <f t="shared" ca="1" si="145"/>
        <v>331.47995192096505</v>
      </c>
      <c r="M336" s="306">
        <f t="shared" ca="1" si="161"/>
        <v>1.3250051033532209</v>
      </c>
      <c r="N336" s="304">
        <f t="shared" ca="1" si="162"/>
        <v>75.917200255434992</v>
      </c>
      <c r="P336" s="310">
        <f t="shared" ca="1" si="163"/>
        <v>11</v>
      </c>
      <c r="Q336" s="304">
        <f t="shared" ca="1" si="164"/>
        <v>698.6500000000035</v>
      </c>
      <c r="R336" s="306">
        <f t="shared" ca="1" si="165"/>
        <v>0.34997632406385959</v>
      </c>
      <c r="S336" s="307">
        <f t="shared" ca="1" si="166"/>
        <v>12.754852287967308</v>
      </c>
      <c r="T336" s="304">
        <f t="shared" ca="1" si="146"/>
        <v>125.1251009449593</v>
      </c>
      <c r="U336" s="311">
        <f t="shared" ca="1" si="147"/>
        <v>0</v>
      </c>
      <c r="V336" s="306">
        <f t="shared" ca="1" si="148"/>
        <v>1.1860648101255775</v>
      </c>
      <c r="W336" s="304">
        <f t="shared" ca="1" si="149"/>
        <v>92.817089808630072</v>
      </c>
      <c r="Y336" s="314" t="str">
        <f t="shared" ca="1" si="167"/>
        <v/>
      </c>
      <c r="Z336" s="315" t="str">
        <f t="shared" ca="1" si="168"/>
        <v/>
      </c>
      <c r="AA336" s="316" t="str">
        <f t="shared" ca="1" si="169"/>
        <v/>
      </c>
      <c r="AC336" s="310" t="e">
        <f t="shared" ca="1" si="170"/>
        <v>#N/A</v>
      </c>
      <c r="AD336" s="323" t="e">
        <f t="shared" ca="1" si="171"/>
        <v>#N/A</v>
      </c>
      <c r="AE336" s="324">
        <f t="shared" ca="1" si="150"/>
        <v>322.97091070226986</v>
      </c>
      <c r="AG336" s="306">
        <f t="shared" ca="1" si="172"/>
        <v>38.011313978492467</v>
      </c>
      <c r="AH336" s="304">
        <f t="shared" ca="1" si="173"/>
        <v>47.526783007267454</v>
      </c>
    </row>
    <row r="337" spans="1:34" x14ac:dyDescent="0.25">
      <c r="A337" s="347">
        <f t="shared" ca="1" si="151"/>
        <v>0.01</v>
      </c>
      <c r="B337" s="304">
        <f t="shared" ca="1" si="152"/>
        <v>3.329999999999973</v>
      </c>
      <c r="D337" s="306">
        <f t="shared" ca="1" si="153"/>
        <v>11.535811297793819</v>
      </c>
      <c r="E337" s="307">
        <f t="shared" ca="1" si="154"/>
        <v>36.17441118324863</v>
      </c>
      <c r="F337" s="304">
        <f t="shared" ca="1" si="155"/>
        <v>37.969237110495797</v>
      </c>
      <c r="G337" s="306">
        <f t="shared" ca="1" si="156"/>
        <v>45.160126795513683</v>
      </c>
      <c r="H337" s="307">
        <f t="shared" ca="1" si="157"/>
        <v>179.92060748784692</v>
      </c>
      <c r="I337" s="304">
        <f t="shared" ca="1" si="158"/>
        <v>185.5016497257713</v>
      </c>
      <c r="J337" s="306">
        <f t="shared" ca="1" si="159"/>
        <v>75.075078010227202</v>
      </c>
      <c r="K337" s="307">
        <f t="shared" ca="1" si="160"/>
        <v>324.76830805658915</v>
      </c>
      <c r="L337" s="304">
        <f t="shared" ca="1" si="145"/>
        <v>333.33274855042566</v>
      </c>
      <c r="M337" s="306">
        <f t="shared" ca="1" si="161"/>
        <v>1.3248764248793907</v>
      </c>
      <c r="N337" s="304">
        <f t="shared" ca="1" si="162"/>
        <v>75.909827521970342</v>
      </c>
      <c r="P337" s="310">
        <f t="shared" ca="1" si="163"/>
        <v>11</v>
      </c>
      <c r="Q337" s="304">
        <f t="shared" ca="1" si="164"/>
        <v>697.35000000000355</v>
      </c>
      <c r="R337" s="306">
        <f t="shared" ca="1" si="165"/>
        <v>0.34932511212471551</v>
      </c>
      <c r="S337" s="307">
        <f t="shared" ca="1" si="166"/>
        <v>12.751359036846061</v>
      </c>
      <c r="T337" s="304">
        <f t="shared" ca="1" si="146"/>
        <v>125.09083215145986</v>
      </c>
      <c r="U337" s="311">
        <f t="shared" ca="1" si="147"/>
        <v>0</v>
      </c>
      <c r="V337" s="306">
        <f t="shared" ca="1" si="148"/>
        <v>1.1858515904005047</v>
      </c>
      <c r="W337" s="304">
        <f t="shared" ca="1" si="149"/>
        <v>93.180714370080054</v>
      </c>
      <c r="Y337" s="314" t="str">
        <f t="shared" ca="1" si="167"/>
        <v/>
      </c>
      <c r="Z337" s="315" t="str">
        <f t="shared" ca="1" si="168"/>
        <v/>
      </c>
      <c r="AA337" s="316" t="str">
        <f t="shared" ca="1" si="169"/>
        <v/>
      </c>
      <c r="AC337" s="310" t="e">
        <f t="shared" ca="1" si="170"/>
        <v>#N/A</v>
      </c>
      <c r="AD337" s="323" t="e">
        <f t="shared" ca="1" si="171"/>
        <v>#N/A</v>
      </c>
      <c r="AE337" s="324">
        <f t="shared" ca="1" si="150"/>
        <v>324.76830805658915</v>
      </c>
      <c r="AG337" s="306">
        <f t="shared" ca="1" si="172"/>
        <v>37.894131006767758</v>
      </c>
      <c r="AH337" s="304">
        <f t="shared" ca="1" si="173"/>
        <v>47.409292487532333</v>
      </c>
    </row>
    <row r="338" spans="1:34" x14ac:dyDescent="0.25">
      <c r="A338" s="347">
        <f t="shared" ca="1" si="151"/>
        <v>0.01</v>
      </c>
      <c r="B338" s="304">
        <f t="shared" ca="1" si="152"/>
        <v>3.3399999999999728</v>
      </c>
      <c r="D338" s="306">
        <f t="shared" ca="1" si="153"/>
        <v>11.513114677035897</v>
      </c>
      <c r="E338" s="307">
        <f t="shared" ca="1" si="154"/>
        <v>36.058927608399173</v>
      </c>
      <c r="F338" s="304">
        <f t="shared" ca="1" si="155"/>
        <v>37.852319213416123</v>
      </c>
      <c r="G338" s="306">
        <f t="shared" ca="1" si="156"/>
        <v>45.275257942284043</v>
      </c>
      <c r="H338" s="307">
        <f t="shared" ca="1" si="157"/>
        <v>180.28119676393092</v>
      </c>
      <c r="I338" s="304">
        <f t="shared" ca="1" si="158"/>
        <v>185.87942029276812</v>
      </c>
      <c r="J338" s="306">
        <f t="shared" ca="1" si="159"/>
        <v>75.527254933916197</v>
      </c>
      <c r="K338" s="307">
        <f t="shared" ca="1" si="160"/>
        <v>326.56931707784804</v>
      </c>
      <c r="L338" s="304">
        <f t="shared" ca="1" si="145"/>
        <v>335.18932723842033</v>
      </c>
      <c r="M338" s="306">
        <f t="shared" ca="1" si="161"/>
        <v>1.3247479420548327</v>
      </c>
      <c r="N338" s="304">
        <f t="shared" ca="1" si="162"/>
        <v>75.902465998383249</v>
      </c>
      <c r="P338" s="310">
        <f t="shared" ca="1" si="163"/>
        <v>11</v>
      </c>
      <c r="Q338" s="304">
        <f t="shared" ca="1" si="164"/>
        <v>696.05000000000359</v>
      </c>
      <c r="R338" s="306">
        <f t="shared" ca="1" si="165"/>
        <v>0.34867390018557143</v>
      </c>
      <c r="S338" s="307">
        <f t="shared" ca="1" si="166"/>
        <v>12.747872297844205</v>
      </c>
      <c r="T338" s="304">
        <f t="shared" ca="1" si="146"/>
        <v>125.05662724185166</v>
      </c>
      <c r="U338" s="311">
        <f t="shared" ca="1" si="147"/>
        <v>0</v>
      </c>
      <c r="V338" s="306">
        <f t="shared" ca="1" si="148"/>
        <v>1.1856379800565506</v>
      </c>
      <c r="W338" s="304">
        <f t="shared" ca="1" si="149"/>
        <v>93.543769001293938</v>
      </c>
      <c r="Y338" s="314" t="str">
        <f t="shared" ca="1" si="167"/>
        <v/>
      </c>
      <c r="Z338" s="315" t="str">
        <f t="shared" ca="1" si="168"/>
        <v/>
      </c>
      <c r="AA338" s="316" t="str">
        <f t="shared" ca="1" si="169"/>
        <v/>
      </c>
      <c r="AC338" s="310" t="e">
        <f t="shared" ca="1" si="170"/>
        <v>#N/A</v>
      </c>
      <c r="AD338" s="323" t="e">
        <f t="shared" ca="1" si="171"/>
        <v>#N/A</v>
      </c>
      <c r="AE338" s="324">
        <f t="shared" ca="1" si="150"/>
        <v>326.56931707784804</v>
      </c>
      <c r="AG338" s="306">
        <f t="shared" ca="1" si="172"/>
        <v>37.776903276327822</v>
      </c>
      <c r="AH338" s="304">
        <f t="shared" ca="1" si="173"/>
        <v>47.291757521910135</v>
      </c>
    </row>
    <row r="339" spans="1:34" x14ac:dyDescent="0.25">
      <c r="A339" s="347">
        <f t="shared" ca="1" si="151"/>
        <v>0.01</v>
      </c>
      <c r="B339" s="304">
        <f t="shared" ca="1" si="152"/>
        <v>3.3499999999999726</v>
      </c>
      <c r="D339" s="306">
        <f t="shared" ca="1" si="153"/>
        <v>11.490368932026589</v>
      </c>
      <c r="E339" s="307">
        <f t="shared" ca="1" si="154"/>
        <v>35.943410504376281</v>
      </c>
      <c r="F339" s="304">
        <f t="shared" ca="1" si="155"/>
        <v>37.735359238785428</v>
      </c>
      <c r="G339" s="306">
        <f t="shared" ca="1" si="156"/>
        <v>45.390161631604308</v>
      </c>
      <c r="H339" s="307">
        <f t="shared" ca="1" si="157"/>
        <v>180.64063086897468</v>
      </c>
      <c r="I339" s="304">
        <f t="shared" ca="1" si="158"/>
        <v>186.25601814084916</v>
      </c>
      <c r="J339" s="306">
        <f t="shared" ca="1" si="159"/>
        <v>75.980582031785644</v>
      </c>
      <c r="K339" s="307">
        <f t="shared" ca="1" si="160"/>
        <v>328.37392621601259</v>
      </c>
      <c r="L339" s="304">
        <f t="shared" ca="1" si="145"/>
        <v>337.04967625619844</v>
      </c>
      <c r="M339" s="306">
        <f t="shared" ca="1" si="161"/>
        <v>1.3246196533802379</v>
      </c>
      <c r="N339" s="304">
        <f t="shared" ca="1" si="162"/>
        <v>75.89511559876965</v>
      </c>
      <c r="P339" s="310">
        <f t="shared" ca="1" si="163"/>
        <v>11</v>
      </c>
      <c r="Q339" s="304">
        <f t="shared" ca="1" si="164"/>
        <v>694.75000000000352</v>
      </c>
      <c r="R339" s="306">
        <f t="shared" ca="1" si="165"/>
        <v>0.34802268824642735</v>
      </c>
      <c r="S339" s="307">
        <f t="shared" ca="1" si="166"/>
        <v>12.744392070961741</v>
      </c>
      <c r="T339" s="304">
        <f t="shared" ca="1" si="146"/>
        <v>125.02248621613468</v>
      </c>
      <c r="U339" s="311">
        <f t="shared" ca="1" si="147"/>
        <v>0</v>
      </c>
      <c r="V339" s="306">
        <f t="shared" ca="1" si="148"/>
        <v>1.1854239806809288</v>
      </c>
      <c r="W339" s="304">
        <f t="shared" ca="1" si="149"/>
        <v>93.906246033738725</v>
      </c>
      <c r="Y339" s="314" t="str">
        <f t="shared" ca="1" si="167"/>
        <v/>
      </c>
      <c r="Z339" s="315" t="str">
        <f t="shared" ca="1" si="168"/>
        <v/>
      </c>
      <c r="AA339" s="316" t="str">
        <f t="shared" ca="1" si="169"/>
        <v/>
      </c>
      <c r="AC339" s="310" t="e">
        <f t="shared" ca="1" si="170"/>
        <v>#N/A</v>
      </c>
      <c r="AD339" s="323" t="e">
        <f t="shared" ca="1" si="171"/>
        <v>#N/A</v>
      </c>
      <c r="AE339" s="324">
        <f t="shared" ca="1" si="150"/>
        <v>328.37392621601259</v>
      </c>
      <c r="AG339" s="306">
        <f t="shared" ca="1" si="172"/>
        <v>37.659631538177671</v>
      </c>
      <c r="AH339" s="304">
        <f t="shared" ca="1" si="173"/>
        <v>47.174178858524414</v>
      </c>
    </row>
    <row r="340" spans="1:34" x14ac:dyDescent="0.25">
      <c r="A340" s="347">
        <f t="shared" ca="1" si="151"/>
        <v>0.01</v>
      </c>
      <c r="B340" s="304">
        <f t="shared" ca="1" si="152"/>
        <v>3.3599999999999723</v>
      </c>
      <c r="D340" s="306">
        <f t="shared" ca="1" si="153"/>
        <v>11.467574365865298</v>
      </c>
      <c r="E340" s="307">
        <f t="shared" ca="1" si="154"/>
        <v>35.827860574271156</v>
      </c>
      <c r="F340" s="304">
        <f t="shared" ca="1" si="155"/>
        <v>37.618357954143406</v>
      </c>
      <c r="G340" s="306">
        <f t="shared" ca="1" si="156"/>
        <v>45.504837375262959</v>
      </c>
      <c r="H340" s="307">
        <f t="shared" ca="1" si="157"/>
        <v>180.99890947471741</v>
      </c>
      <c r="I340" s="304">
        <f t="shared" ca="1" si="158"/>
        <v>186.63144283744387</v>
      </c>
      <c r="J340" s="306">
        <f t="shared" ca="1" si="159"/>
        <v>76.435057026819976</v>
      </c>
      <c r="K340" s="307">
        <f t="shared" ca="1" si="160"/>
        <v>330.18212391773108</v>
      </c>
      <c r="L340" s="304">
        <f t="shared" ca="1" si="145"/>
        <v>338.91378387064333</v>
      </c>
      <c r="M340" s="306">
        <f t="shared" ca="1" si="161"/>
        <v>1.3244915573679641</v>
      </c>
      <c r="N340" s="304">
        <f t="shared" ca="1" si="162"/>
        <v>75.887776237893902</v>
      </c>
      <c r="P340" s="310">
        <f t="shared" ca="1" si="163"/>
        <v>11</v>
      </c>
      <c r="Q340" s="304">
        <f t="shared" ca="1" si="164"/>
        <v>693.45000000000357</v>
      </c>
      <c r="R340" s="306">
        <f t="shared" ca="1" si="165"/>
        <v>0.34737147630728327</v>
      </c>
      <c r="S340" s="307">
        <f t="shared" ca="1" si="166"/>
        <v>12.740918356198668</v>
      </c>
      <c r="T340" s="304">
        <f t="shared" ca="1" si="146"/>
        <v>124.98840907430893</v>
      </c>
      <c r="U340" s="311">
        <f t="shared" ca="1" si="147"/>
        <v>0</v>
      </c>
      <c r="V340" s="306">
        <f t="shared" ca="1" si="148"/>
        <v>1.1852095938606109</v>
      </c>
      <c r="W340" s="304">
        <f t="shared" ca="1" si="149"/>
        <v>94.268137833518779</v>
      </c>
      <c r="Y340" s="314" t="str">
        <f t="shared" ca="1" si="167"/>
        <v/>
      </c>
      <c r="Z340" s="315" t="str">
        <f t="shared" ca="1" si="168"/>
        <v/>
      </c>
      <c r="AA340" s="316" t="str">
        <f t="shared" ca="1" si="169"/>
        <v/>
      </c>
      <c r="AC340" s="310" t="e">
        <f t="shared" ca="1" si="170"/>
        <v>#N/A</v>
      </c>
      <c r="AD340" s="323" t="e">
        <f t="shared" ca="1" si="171"/>
        <v>#N/A</v>
      </c>
      <c r="AE340" s="324">
        <f t="shared" ca="1" si="150"/>
        <v>330.18212391773108</v>
      </c>
      <c r="AG340" s="306">
        <f t="shared" ca="1" si="172"/>
        <v>37.542316541542682</v>
      </c>
      <c r="AH340" s="304">
        <f t="shared" ca="1" si="173"/>
        <v>47.05655724373878</v>
      </c>
    </row>
    <row r="341" spans="1:34" x14ac:dyDescent="0.25">
      <c r="A341" s="347">
        <f t="shared" ca="1" si="151"/>
        <v>0.01</v>
      </c>
      <c r="B341" s="304">
        <f t="shared" ca="1" si="152"/>
        <v>3.3699999999999721</v>
      </c>
      <c r="D341" s="306">
        <f t="shared" ca="1" si="153"/>
        <v>11.444731280408527</v>
      </c>
      <c r="E341" s="307">
        <f t="shared" ca="1" si="154"/>
        <v>35.71227851958475</v>
      </c>
      <c r="F341" s="304">
        <f t="shared" ca="1" si="155"/>
        <v>37.501316125452924</v>
      </c>
      <c r="G341" s="306">
        <f t="shared" ca="1" si="156"/>
        <v>45.619284688067047</v>
      </c>
      <c r="H341" s="307">
        <f t="shared" ca="1" si="157"/>
        <v>181.35603225991326</v>
      </c>
      <c r="I341" s="304">
        <f t="shared" ca="1" si="158"/>
        <v>187.00569395745575</v>
      </c>
      <c r="J341" s="306">
        <f t="shared" ca="1" si="159"/>
        <v>76.890677637136619</v>
      </c>
      <c r="K341" s="307">
        <f t="shared" ca="1" si="160"/>
        <v>331.99389862640425</v>
      </c>
      <c r="L341" s="304">
        <f t="shared" ca="1" si="145"/>
        <v>340.7816383443469</v>
      </c>
      <c r="M341" s="306">
        <f t="shared" ca="1" si="161"/>
        <v>1.3243636525418978</v>
      </c>
      <c r="N341" s="304">
        <f t="shared" ca="1" si="162"/>
        <v>75.880447831180945</v>
      </c>
      <c r="P341" s="310">
        <f t="shared" ca="1" si="163"/>
        <v>11</v>
      </c>
      <c r="Q341" s="304">
        <f t="shared" ca="1" si="164"/>
        <v>692.15000000000362</v>
      </c>
      <c r="R341" s="306">
        <f t="shared" ca="1" si="165"/>
        <v>0.34672026436813919</v>
      </c>
      <c r="S341" s="307">
        <f t="shared" ca="1" si="166"/>
        <v>12.737451153554986</v>
      </c>
      <c r="T341" s="304">
        <f t="shared" ca="1" si="146"/>
        <v>124.95439581637442</v>
      </c>
      <c r="U341" s="311">
        <f t="shared" ca="1" si="147"/>
        <v>0</v>
      </c>
      <c r="V341" s="306">
        <f t="shared" ca="1" si="148"/>
        <v>1.1849948211823118</v>
      </c>
      <c r="W341" s="304">
        <f t="shared" ca="1" si="149"/>
        <v>94.629436801455114</v>
      </c>
      <c r="Y341" s="314" t="str">
        <f t="shared" ca="1" si="167"/>
        <v/>
      </c>
      <c r="Z341" s="315" t="str">
        <f t="shared" ca="1" si="168"/>
        <v/>
      </c>
      <c r="AA341" s="316" t="str">
        <f t="shared" ca="1" si="169"/>
        <v/>
      </c>
      <c r="AC341" s="310" t="e">
        <f t="shared" ca="1" si="170"/>
        <v>#N/A</v>
      </c>
      <c r="AD341" s="323" t="e">
        <f t="shared" ca="1" si="171"/>
        <v>#N/A</v>
      </c>
      <c r="AE341" s="324">
        <f t="shared" ca="1" si="150"/>
        <v>331.99389862640425</v>
      </c>
      <c r="AG341" s="306">
        <f t="shared" ca="1" si="172"/>
        <v>37.424959033856091</v>
      </c>
      <c r="AH341" s="304">
        <f t="shared" ca="1" si="173"/>
        <v>46.938893422144169</v>
      </c>
    </row>
    <row r="342" spans="1:34" x14ac:dyDescent="0.25">
      <c r="A342" s="347">
        <f t="shared" ca="1" si="151"/>
        <v>0.01</v>
      </c>
      <c r="B342" s="304">
        <f t="shared" ca="1" si="152"/>
        <v>3.3799999999999719</v>
      </c>
      <c r="D342" s="306">
        <f t="shared" ca="1" si="153"/>
        <v>11.421839976276837</v>
      </c>
      <c r="E342" s="307">
        <f t="shared" ca="1" si="154"/>
        <v>35.59666504021412</v>
      </c>
      <c r="F342" s="304">
        <f t="shared" ca="1" si="155"/>
        <v>37.384234517091265</v>
      </c>
      <c r="G342" s="306">
        <f t="shared" ca="1" si="156"/>
        <v>45.733503087829817</v>
      </c>
      <c r="H342" s="307">
        <f t="shared" ca="1" si="157"/>
        <v>181.7119989103154</v>
      </c>
      <c r="I342" s="304">
        <f t="shared" ca="1" si="158"/>
        <v>187.37877108324466</v>
      </c>
      <c r="J342" s="306">
        <f t="shared" ca="1" si="159"/>
        <v>77.347441576016109</v>
      </c>
      <c r="K342" s="307">
        <f t="shared" ca="1" si="160"/>
        <v>333.80923878225536</v>
      </c>
      <c r="L342" s="304">
        <f t="shared" ca="1" si="145"/>
        <v>342.6532279356843</v>
      </c>
      <c r="M342" s="306">
        <f t="shared" ca="1" si="161"/>
        <v>1.3242359374373207</v>
      </c>
      <c r="N342" s="304">
        <f t="shared" ca="1" si="162"/>
        <v>75.873130294708602</v>
      </c>
      <c r="P342" s="310">
        <f t="shared" ca="1" si="163"/>
        <v>11</v>
      </c>
      <c r="Q342" s="304">
        <f t="shared" ca="1" si="164"/>
        <v>690.85000000000366</v>
      </c>
      <c r="R342" s="306">
        <f t="shared" ca="1" si="165"/>
        <v>0.34606905242899516</v>
      </c>
      <c r="S342" s="307">
        <f t="shared" ca="1" si="166"/>
        <v>12.733990463030695</v>
      </c>
      <c r="T342" s="304">
        <f t="shared" ca="1" si="146"/>
        <v>124.92044644233113</v>
      </c>
      <c r="U342" s="311">
        <f t="shared" ca="1" si="147"/>
        <v>0</v>
      </c>
      <c r="V342" s="306">
        <f t="shared" ca="1" si="148"/>
        <v>1.1847796642324799</v>
      </c>
      <c r="W342" s="304">
        <f t="shared" ca="1" si="149"/>
        <v>94.990135373164478</v>
      </c>
      <c r="Y342" s="314" t="str">
        <f t="shared" ca="1" si="167"/>
        <v/>
      </c>
      <c r="Z342" s="315" t="str">
        <f t="shared" ca="1" si="168"/>
        <v/>
      </c>
      <c r="AA342" s="316" t="str">
        <f t="shared" ca="1" si="169"/>
        <v/>
      </c>
      <c r="AC342" s="310" t="e">
        <f t="shared" ca="1" si="170"/>
        <v>#N/A</v>
      </c>
      <c r="AD342" s="323" t="e">
        <f t="shared" ca="1" si="171"/>
        <v>#N/A</v>
      </c>
      <c r="AE342" s="324">
        <f t="shared" ca="1" si="150"/>
        <v>333.80923878225536</v>
      </c>
      <c r="AG342" s="306">
        <f t="shared" ca="1" si="172"/>
        <v>37.307559760746848</v>
      </c>
      <c r="AH342" s="304">
        <f t="shared" ca="1" si="173"/>
        <v>46.821188136546461</v>
      </c>
    </row>
    <row r="343" spans="1:34" x14ac:dyDescent="0.25">
      <c r="A343" s="347">
        <f t="shared" ca="1" si="151"/>
        <v>0.01</v>
      </c>
      <c r="B343" s="304">
        <f t="shared" ca="1" si="152"/>
        <v>3.3899999999999717</v>
      </c>
      <c r="D343" s="306">
        <f t="shared" ca="1" si="153"/>
        <v>11.398900752861527</v>
      </c>
      <c r="E343" s="307">
        <f t="shared" ca="1" si="154"/>
        <v>35.481020834438695</v>
      </c>
      <c r="F343" s="304">
        <f t="shared" ca="1" si="155"/>
        <v>37.267113891841156</v>
      </c>
      <c r="G343" s="306">
        <f t="shared" ca="1" si="156"/>
        <v>45.847492095358433</v>
      </c>
      <c r="H343" s="307">
        <f t="shared" ca="1" si="157"/>
        <v>182.06680911865979</v>
      </c>
      <c r="I343" s="304">
        <f t="shared" ca="1" si="158"/>
        <v>187.75067380460837</v>
      </c>
      <c r="J343" s="306">
        <f t="shared" ca="1" si="159"/>
        <v>77.805346551932047</v>
      </c>
      <c r="K343" s="307">
        <f t="shared" ca="1" si="160"/>
        <v>335.62813282240023</v>
      </c>
      <c r="L343" s="304">
        <f t="shared" ca="1" si="145"/>
        <v>344.52854089888837</v>
      </c>
      <c r="M343" s="306">
        <f t="shared" ca="1" si="161"/>
        <v>1.3241084106007759</v>
      </c>
      <c r="N343" s="304">
        <f t="shared" ca="1" si="162"/>
        <v>75.86582354519993</v>
      </c>
      <c r="P343" s="310">
        <f t="shared" ca="1" si="163"/>
        <v>11</v>
      </c>
      <c r="Q343" s="304">
        <f t="shared" ca="1" si="164"/>
        <v>689.55000000000371</v>
      </c>
      <c r="R343" s="306">
        <f t="shared" ca="1" si="165"/>
        <v>0.34541784048985108</v>
      </c>
      <c r="S343" s="307">
        <f t="shared" ca="1" si="166"/>
        <v>12.730536284625796</v>
      </c>
      <c r="T343" s="304">
        <f t="shared" ca="1" si="146"/>
        <v>124.88656095217907</v>
      </c>
      <c r="U343" s="311">
        <f t="shared" ca="1" si="147"/>
        <v>0</v>
      </c>
      <c r="V343" s="306">
        <f t="shared" ca="1" si="148"/>
        <v>1.1845641245972789</v>
      </c>
      <c r="W343" s="304">
        <f t="shared" ca="1" si="149"/>
        <v>95.350226019135391</v>
      </c>
      <c r="Y343" s="314" t="str">
        <f t="shared" ca="1" si="167"/>
        <v/>
      </c>
      <c r="Z343" s="315" t="str">
        <f t="shared" ca="1" si="168"/>
        <v/>
      </c>
      <c r="AA343" s="316" t="str">
        <f t="shared" ca="1" si="169"/>
        <v/>
      </c>
      <c r="AC343" s="310" t="e">
        <f t="shared" ca="1" si="170"/>
        <v>#N/A</v>
      </c>
      <c r="AD343" s="323" t="e">
        <f t="shared" ca="1" si="171"/>
        <v>#N/A</v>
      </c>
      <c r="AE343" s="324">
        <f t="shared" ca="1" si="150"/>
        <v>335.62813282240023</v>
      </c>
      <c r="AG343" s="306">
        <f t="shared" ca="1" si="172"/>
        <v>37.190119466027362</v>
      </c>
      <c r="AH343" s="304">
        <f t="shared" ca="1" si="173"/>
        <v>46.703442127953991</v>
      </c>
    </row>
    <row r="344" spans="1:34" x14ac:dyDescent="0.25">
      <c r="A344" s="347">
        <f t="shared" ca="1" si="151"/>
        <v>0.01</v>
      </c>
      <c r="B344" s="304">
        <f t="shared" ca="1" si="152"/>
        <v>3.3999999999999715</v>
      </c>
      <c r="D344" s="306">
        <f t="shared" ca="1" si="153"/>
        <v>11.375913908331306</v>
      </c>
      <c r="E344" s="307">
        <f t="shared" ca="1" si="154"/>
        <v>35.365346598906932</v>
      </c>
      <c r="F344" s="304">
        <f t="shared" ca="1" si="155"/>
        <v>37.149955010882366</v>
      </c>
      <c r="G344" s="306">
        <f t="shared" ca="1" si="156"/>
        <v>45.961251234441747</v>
      </c>
      <c r="H344" s="307">
        <f t="shared" ca="1" si="157"/>
        <v>182.42046258464887</v>
      </c>
      <c r="I344" s="304">
        <f t="shared" ca="1" si="158"/>
        <v>188.12140171876447</v>
      </c>
      <c r="J344" s="306">
        <f t="shared" ca="1" si="159"/>
        <v>78.264390268581053</v>
      </c>
      <c r="K344" s="307">
        <f t="shared" ca="1" si="160"/>
        <v>337.45056918091677</v>
      </c>
      <c r="L344" s="304">
        <f t="shared" ca="1" si="145"/>
        <v>346.40756548412372</v>
      </c>
      <c r="M344" s="306">
        <f t="shared" ca="1" si="161"/>
        <v>1.3239810705899362</v>
      </c>
      <c r="N344" s="304">
        <f t="shared" ca="1" si="162"/>
        <v>75.858527500015668</v>
      </c>
      <c r="P344" s="310">
        <f t="shared" ca="1" si="163"/>
        <v>11</v>
      </c>
      <c r="Q344" s="304">
        <f t="shared" ca="1" si="164"/>
        <v>688.25000000000375</v>
      </c>
      <c r="R344" s="306">
        <f t="shared" ca="1" si="165"/>
        <v>0.344766628550707</v>
      </c>
      <c r="S344" s="307">
        <f t="shared" ca="1" si="166"/>
        <v>12.727088618340289</v>
      </c>
      <c r="T344" s="304">
        <f t="shared" ca="1" si="146"/>
        <v>124.85273934591825</v>
      </c>
      <c r="U344" s="311">
        <f t="shared" ca="1" si="147"/>
        <v>0</v>
      </c>
      <c r="V344" s="306">
        <f t="shared" ca="1" si="148"/>
        <v>1.1843482038625777</v>
      </c>
      <c r="W344" s="304">
        <f t="shared" ca="1" si="149"/>
        <v>95.709701244804137</v>
      </c>
      <c r="Y344" s="314" t="str">
        <f t="shared" ca="1" si="167"/>
        <v/>
      </c>
      <c r="Z344" s="315" t="str">
        <f t="shared" ca="1" si="168"/>
        <v/>
      </c>
      <c r="AA344" s="316" t="str">
        <f t="shared" ca="1" si="169"/>
        <v/>
      </c>
      <c r="AC344" s="310" t="e">
        <f t="shared" ca="1" si="170"/>
        <v>#N/A</v>
      </c>
      <c r="AD344" s="323" t="e">
        <f t="shared" ca="1" si="171"/>
        <v>#N/A</v>
      </c>
      <c r="AE344" s="324">
        <f t="shared" ca="1" si="150"/>
        <v>337.45056918091677</v>
      </c>
      <c r="AG344" s="306">
        <f t="shared" ca="1" si="172"/>
        <v>37.0726388916815</v>
      </c>
      <c r="AH344" s="304">
        <f t="shared" ca="1" si="173"/>
        <v>46.585656135565358</v>
      </c>
    </row>
    <row r="345" spans="1:34" x14ac:dyDescent="0.25">
      <c r="A345" s="347">
        <f t="shared" ca="1" si="151"/>
        <v>0.01</v>
      </c>
      <c r="B345" s="304">
        <f t="shared" ca="1" si="152"/>
        <v>3.4099999999999713</v>
      </c>
      <c r="D345" s="306">
        <f t="shared" ca="1" si="153"/>
        <v>11.35287973963881</v>
      </c>
      <c r="E345" s="307">
        <f t="shared" ca="1" si="154"/>
        <v>35.249643028622906</v>
      </c>
      <c r="F345" s="304">
        <f t="shared" ca="1" si="155"/>
        <v>37.03275863378321</v>
      </c>
      <c r="G345" s="306">
        <f t="shared" ca="1" si="156"/>
        <v>46.074780031838138</v>
      </c>
      <c r="H345" s="307">
        <f t="shared" ca="1" si="157"/>
        <v>182.77295901493511</v>
      </c>
      <c r="I345" s="304">
        <f t="shared" ca="1" si="158"/>
        <v>188.49095443033178</v>
      </c>
      <c r="J345" s="306">
        <f t="shared" ca="1" si="159"/>
        <v>78.724570424912457</v>
      </c>
      <c r="K345" s="307">
        <f t="shared" ca="1" si="160"/>
        <v>339.27653628891471</v>
      </c>
      <c r="L345" s="304">
        <f t="shared" ca="1" si="145"/>
        <v>348.29028993756094</v>
      </c>
      <c r="M345" s="306">
        <f t="shared" ca="1" si="161"/>
        <v>1.3238539159734761</v>
      </c>
      <c r="N345" s="304">
        <f t="shared" ca="1" si="162"/>
        <v>75.851242077146907</v>
      </c>
      <c r="P345" s="310">
        <f t="shared" ca="1" si="163"/>
        <v>11</v>
      </c>
      <c r="Q345" s="304">
        <f t="shared" ca="1" si="164"/>
        <v>686.95000000000368</v>
      </c>
      <c r="R345" s="306">
        <f t="shared" ca="1" si="165"/>
        <v>0.34411541661156292</v>
      </c>
      <c r="S345" s="307">
        <f t="shared" ca="1" si="166"/>
        <v>12.723647464174174</v>
      </c>
      <c r="T345" s="304">
        <f t="shared" ca="1" si="146"/>
        <v>124.81898162354865</v>
      </c>
      <c r="U345" s="311">
        <f t="shared" ca="1" si="147"/>
        <v>0</v>
      </c>
      <c r="V345" s="306">
        <f t="shared" ca="1" si="148"/>
        <v>1.1841319036139373</v>
      </c>
      <c r="W345" s="304">
        <f t="shared" ca="1" si="149"/>
        <v>96.068553590628341</v>
      </c>
      <c r="Y345" s="314" t="str">
        <f t="shared" ca="1" si="167"/>
        <v/>
      </c>
      <c r="Z345" s="315" t="str">
        <f t="shared" ca="1" si="168"/>
        <v/>
      </c>
      <c r="AA345" s="316" t="str">
        <f t="shared" ca="1" si="169"/>
        <v/>
      </c>
      <c r="AC345" s="310" t="e">
        <f t="shared" ca="1" si="170"/>
        <v>#N/A</v>
      </c>
      <c r="AD345" s="323" t="e">
        <f t="shared" ca="1" si="171"/>
        <v>#N/A</v>
      </c>
      <c r="AE345" s="324">
        <f t="shared" ca="1" si="150"/>
        <v>339.27653628891471</v>
      </c>
      <c r="AG345" s="306">
        <f t="shared" ca="1" si="172"/>
        <v>36.955118777852668</v>
      </c>
      <c r="AH345" s="304">
        <f t="shared" ca="1" si="173"/>
        <v>46.467830896757235</v>
      </c>
    </row>
    <row r="346" spans="1:34" x14ac:dyDescent="0.25">
      <c r="A346" s="347">
        <f t="shared" ca="1" si="151"/>
        <v>0.01</v>
      </c>
      <c r="B346" s="304">
        <f t="shared" ca="1" si="152"/>
        <v>3.4199999999999711</v>
      </c>
      <c r="D346" s="306">
        <f t="shared" ca="1" si="153"/>
        <v>11.329798542526918</v>
      </c>
      <c r="E346" s="307">
        <f t="shared" ca="1" si="154"/>
        <v>35.133910816933124</v>
      </c>
      <c r="F346" s="304">
        <f t="shared" ca="1" si="155"/>
        <v>36.915525518492295</v>
      </c>
      <c r="G346" s="306">
        <f t="shared" ca="1" si="156"/>
        <v>46.188078017263408</v>
      </c>
      <c r="H346" s="307">
        <f t="shared" ca="1" si="157"/>
        <v>183.12429812310444</v>
      </c>
      <c r="I346" s="304">
        <f t="shared" ca="1" si="158"/>
        <v>188.85933155131212</v>
      </c>
      <c r="J346" s="306">
        <f t="shared" ca="1" si="159"/>
        <v>79.185884715157968</v>
      </c>
      <c r="K346" s="307">
        <f t="shared" ca="1" si="160"/>
        <v>341.10602257460494</v>
      </c>
      <c r="L346" s="304">
        <f t="shared" ca="1" si="145"/>
        <v>350.17670250145022</v>
      </c>
      <c r="M346" s="306">
        <f t="shared" ca="1" si="161"/>
        <v>1.3237269453309428</v>
      </c>
      <c r="N346" s="304">
        <f t="shared" ca="1" si="162"/>
        <v>75.843967195207682</v>
      </c>
      <c r="P346" s="310">
        <f t="shared" ca="1" si="163"/>
        <v>11</v>
      </c>
      <c r="Q346" s="304">
        <f t="shared" ca="1" si="164"/>
        <v>685.65000000000373</v>
      </c>
      <c r="R346" s="306">
        <f t="shared" ca="1" si="165"/>
        <v>0.34346420467241884</v>
      </c>
      <c r="S346" s="307">
        <f t="shared" ca="1" si="166"/>
        <v>12.720212822127451</v>
      </c>
      <c r="T346" s="304">
        <f t="shared" ca="1" si="146"/>
        <v>124.7852877850703</v>
      </c>
      <c r="U346" s="311">
        <f t="shared" ca="1" si="147"/>
        <v>0</v>
      </c>
      <c r="V346" s="306">
        <f t="shared" ca="1" si="148"/>
        <v>1.1839152254365959</v>
      </c>
      <c r="W346" s="304">
        <f t="shared" ca="1" si="149"/>
        <v>96.426775632159703</v>
      </c>
      <c r="Y346" s="314" t="str">
        <f t="shared" ca="1" si="167"/>
        <v/>
      </c>
      <c r="Z346" s="315" t="str">
        <f t="shared" ca="1" si="168"/>
        <v/>
      </c>
      <c r="AA346" s="316" t="str">
        <f t="shared" ca="1" si="169"/>
        <v/>
      </c>
      <c r="AC346" s="310" t="e">
        <f t="shared" ca="1" si="170"/>
        <v>#N/A</v>
      </c>
      <c r="AD346" s="323" t="e">
        <f t="shared" ca="1" si="171"/>
        <v>#N/A</v>
      </c>
      <c r="AE346" s="324">
        <f t="shared" ca="1" si="150"/>
        <v>341.10602257460494</v>
      </c>
      <c r="AG346" s="306">
        <f t="shared" ca="1" si="172"/>
        <v>36.837559862831924</v>
      </c>
      <c r="AH346" s="304">
        <f t="shared" ca="1" si="173"/>
        <v>46.34996714707232</v>
      </c>
    </row>
    <row r="347" spans="1:34" x14ac:dyDescent="0.25">
      <c r="A347" s="347">
        <f t="shared" ca="1" si="151"/>
        <v>0.01</v>
      </c>
      <c r="B347" s="304">
        <f t="shared" ca="1" si="152"/>
        <v>3.4299999999999708</v>
      </c>
      <c r="D347" s="306">
        <f t="shared" ca="1" si="153"/>
        <v>11.306670611535067</v>
      </c>
      <c r="E347" s="307">
        <f t="shared" ca="1" si="154"/>
        <v>35.018150655513402</v>
      </c>
      <c r="F347" s="304">
        <f t="shared" ca="1" si="155"/>
        <v>36.798256421330407</v>
      </c>
      <c r="G347" s="306">
        <f t="shared" ca="1" si="156"/>
        <v>46.301144723378755</v>
      </c>
      <c r="H347" s="307">
        <f t="shared" ca="1" si="157"/>
        <v>183.47447962965958</v>
      </c>
      <c r="I347" s="304">
        <f t="shared" ca="1" si="158"/>
        <v>189.22653270107136</v>
      </c>
      <c r="J347" s="306">
        <f t="shared" ca="1" si="159"/>
        <v>79.648330828861177</v>
      </c>
      <c r="K347" s="307">
        <f t="shared" ca="1" si="160"/>
        <v>342.93901646336877</v>
      </c>
      <c r="L347" s="304">
        <f t="shared" ca="1" si="145"/>
        <v>352.06679141419522</v>
      </c>
      <c r="M347" s="306">
        <f t="shared" ca="1" si="161"/>
        <v>1.3236001572526317</v>
      </c>
      <c r="N347" s="304">
        <f t="shared" ca="1" si="162"/>
        <v>75.836702773427874</v>
      </c>
      <c r="P347" s="310">
        <f t="shared" ca="1" si="163"/>
        <v>11</v>
      </c>
      <c r="Q347" s="304">
        <f t="shared" ca="1" si="164"/>
        <v>684.35000000000377</v>
      </c>
      <c r="R347" s="306">
        <f t="shared" ca="1" si="165"/>
        <v>0.34281299273327476</v>
      </c>
      <c r="S347" s="307">
        <f t="shared" ca="1" si="166"/>
        <v>12.716784692200118</v>
      </c>
      <c r="T347" s="304">
        <f t="shared" ca="1" si="146"/>
        <v>124.75165783048317</v>
      </c>
      <c r="U347" s="311">
        <f t="shared" ca="1" si="147"/>
        <v>0</v>
      </c>
      <c r="V347" s="306">
        <f t="shared" ca="1" si="148"/>
        <v>1.1836981709154568</v>
      </c>
      <c r="W347" s="304">
        <f t="shared" ca="1" si="149"/>
        <v>96.784359980114644</v>
      </c>
      <c r="Y347" s="314" t="str">
        <f t="shared" ca="1" si="167"/>
        <v/>
      </c>
      <c r="Z347" s="315" t="str">
        <f t="shared" ca="1" si="168"/>
        <v/>
      </c>
      <c r="AA347" s="316" t="str">
        <f t="shared" ca="1" si="169"/>
        <v/>
      </c>
      <c r="AC347" s="310" t="e">
        <f t="shared" ca="1" si="170"/>
        <v>#N/A</v>
      </c>
      <c r="AD347" s="323" t="e">
        <f t="shared" ca="1" si="171"/>
        <v>#N/A</v>
      </c>
      <c r="AE347" s="324">
        <f t="shared" ca="1" si="150"/>
        <v>342.93901646336877</v>
      </c>
      <c r="AG347" s="306">
        <f t="shared" ca="1" si="172"/>
        <v>36.719962883046229</v>
      </c>
      <c r="AH347" s="304">
        <f t="shared" ca="1" si="173"/>
        <v>46.232065620207344</v>
      </c>
    </row>
    <row r="348" spans="1:34" x14ac:dyDescent="0.25">
      <c r="A348" s="347">
        <f t="shared" ca="1" si="151"/>
        <v>0.01</v>
      </c>
      <c r="B348" s="304">
        <f t="shared" ca="1" si="152"/>
        <v>3.4399999999999706</v>
      </c>
      <c r="D348" s="306">
        <f t="shared" ca="1" si="153"/>
        <v>11.283496240005324</v>
      </c>
      <c r="E348" s="307">
        <f t="shared" ca="1" si="154"/>
        <v>34.902363234355995</v>
      </c>
      <c r="F348" s="304">
        <f t="shared" ca="1" si="155"/>
        <v>36.680952096982701</v>
      </c>
      <c r="G348" s="306">
        <f t="shared" ca="1" si="156"/>
        <v>46.413979685778806</v>
      </c>
      <c r="H348" s="307">
        <f t="shared" ca="1" si="157"/>
        <v>183.82350326200316</v>
      </c>
      <c r="I348" s="304">
        <f t="shared" ca="1" si="158"/>
        <v>189.59255750632084</v>
      </c>
      <c r="J348" s="306">
        <f t="shared" ca="1" si="159"/>
        <v>80.111906450906957</v>
      </c>
      <c r="K348" s="307">
        <f t="shared" ca="1" si="160"/>
        <v>344.77550637782707</v>
      </c>
      <c r="L348" s="304">
        <f t="shared" ca="1" si="145"/>
        <v>353.96054491042634</v>
      </c>
      <c r="M348" s="306">
        <f t="shared" ca="1" si="161"/>
        <v>1.3234735503394617</v>
      </c>
      <c r="N348" s="304">
        <f t="shared" ca="1" si="162"/>
        <v>75.829448731646053</v>
      </c>
      <c r="P348" s="310">
        <f t="shared" ca="1" si="163"/>
        <v>11</v>
      </c>
      <c r="Q348" s="304">
        <f t="shared" ca="1" si="164"/>
        <v>683.05000000000382</v>
      </c>
      <c r="R348" s="306">
        <f t="shared" ca="1" si="165"/>
        <v>0.34216178079413073</v>
      </c>
      <c r="S348" s="307">
        <f t="shared" ca="1" si="166"/>
        <v>12.713363074392177</v>
      </c>
      <c r="T348" s="304">
        <f t="shared" ca="1" si="146"/>
        <v>124.71809175978726</v>
      </c>
      <c r="U348" s="311">
        <f t="shared" ca="1" si="147"/>
        <v>0</v>
      </c>
      <c r="V348" s="306">
        <f t="shared" ca="1" si="148"/>
        <v>1.1834807416350761</v>
      </c>
      <c r="W348" s="304">
        <f t="shared" ca="1" si="149"/>
        <v>97.141299280443988</v>
      </c>
      <c r="Y348" s="314" t="str">
        <f t="shared" ca="1" si="167"/>
        <v/>
      </c>
      <c r="Z348" s="315" t="str">
        <f t="shared" ca="1" si="168"/>
        <v/>
      </c>
      <c r="AA348" s="316" t="str">
        <f t="shared" ca="1" si="169"/>
        <v/>
      </c>
      <c r="AC348" s="310" t="e">
        <f t="shared" ca="1" si="170"/>
        <v>#N/A</v>
      </c>
      <c r="AD348" s="323" t="e">
        <f t="shared" ca="1" si="171"/>
        <v>#N/A</v>
      </c>
      <c r="AE348" s="324">
        <f t="shared" ca="1" si="150"/>
        <v>344.77550637782707</v>
      </c>
      <c r="AG348" s="306">
        <f t="shared" ca="1" si="172"/>
        <v>36.60232857304689</v>
      </c>
      <c r="AH348" s="304">
        <f t="shared" ca="1" si="173"/>
        <v>46.114127048001293</v>
      </c>
    </row>
    <row r="349" spans="1:34" x14ac:dyDescent="0.25">
      <c r="A349" s="347">
        <f t="shared" ca="1" si="151"/>
        <v>0.01</v>
      </c>
      <c r="B349" s="304">
        <f t="shared" ca="1" si="152"/>
        <v>3.4499999999999704</v>
      </c>
      <c r="D349" s="306">
        <f t="shared" ca="1" si="153"/>
        <v>11.260275720088444</v>
      </c>
      <c r="E349" s="307">
        <f t="shared" ca="1" si="154"/>
        <v>34.786549241756752</v>
      </c>
      <c r="F349" s="304">
        <f t="shared" ca="1" si="155"/>
        <v>36.5636132984909</v>
      </c>
      <c r="G349" s="306">
        <f t="shared" ca="1" si="156"/>
        <v>46.526582442979688</v>
      </c>
      <c r="H349" s="307">
        <f t="shared" ca="1" si="157"/>
        <v>184.17136875442071</v>
      </c>
      <c r="I349" s="304">
        <f t="shared" ca="1" si="158"/>
        <v>189.95740560109837</v>
      </c>
      <c r="J349" s="306">
        <f t="shared" ca="1" si="159"/>
        <v>80.576609261550743</v>
      </c>
      <c r="K349" s="307">
        <f t="shared" ca="1" si="160"/>
        <v>346.61548073790919</v>
      </c>
      <c r="L349" s="304">
        <f t="shared" ca="1" si="145"/>
        <v>355.8579512210743</v>
      </c>
      <c r="M349" s="306">
        <f t="shared" ca="1" si="161"/>
        <v>1.3233471232028531</v>
      </c>
      <c r="N349" s="304">
        <f t="shared" ca="1" si="162"/>
        <v>75.822204990302453</v>
      </c>
      <c r="P349" s="310">
        <f t="shared" ca="1" si="163"/>
        <v>11</v>
      </c>
      <c r="Q349" s="304">
        <f t="shared" ca="1" si="164"/>
        <v>681.75000000000387</v>
      </c>
      <c r="R349" s="306">
        <f t="shared" ca="1" si="165"/>
        <v>0.34151056885498665</v>
      </c>
      <c r="S349" s="307">
        <f t="shared" ca="1" si="166"/>
        <v>12.709947968703627</v>
      </c>
      <c r="T349" s="304">
        <f t="shared" ca="1" si="146"/>
        <v>124.68458957298259</v>
      </c>
      <c r="U349" s="311">
        <f t="shared" ca="1" si="147"/>
        <v>0</v>
      </c>
      <c r="V349" s="306">
        <f t="shared" ca="1" si="148"/>
        <v>1.1832629391796479</v>
      </c>
      <c r="W349" s="304">
        <f t="shared" ca="1" si="149"/>
        <v>97.497586214400783</v>
      </c>
      <c r="Y349" s="314" t="str">
        <f t="shared" ca="1" si="167"/>
        <v/>
      </c>
      <c r="Z349" s="315" t="str">
        <f t="shared" ca="1" si="168"/>
        <v/>
      </c>
      <c r="AA349" s="316" t="str">
        <f t="shared" ca="1" si="169"/>
        <v/>
      </c>
      <c r="AC349" s="310" t="e">
        <f t="shared" ca="1" si="170"/>
        <v>#N/A</v>
      </c>
      <c r="AD349" s="323" t="e">
        <f t="shared" ca="1" si="171"/>
        <v>#N/A</v>
      </c>
      <c r="AE349" s="324">
        <f t="shared" ca="1" si="150"/>
        <v>346.61548073790919</v>
      </c>
      <c r="AG349" s="306">
        <f t="shared" ca="1" si="172"/>
        <v>36.484657665498005</v>
      </c>
      <c r="AH349" s="304">
        <f t="shared" ca="1" si="173"/>
        <v>45.996152160423684</v>
      </c>
    </row>
    <row r="350" spans="1:34" x14ac:dyDescent="0.25">
      <c r="A350" s="347">
        <f t="shared" ca="1" si="151"/>
        <v>0.01</v>
      </c>
      <c r="B350" s="304">
        <f t="shared" ca="1" si="152"/>
        <v>3.4599999999999702</v>
      </c>
      <c r="D350" s="306">
        <f t="shared" ca="1" si="153"/>
        <v>11.237009342749745</v>
      </c>
      <c r="E350" s="307">
        <f t="shared" ca="1" si="154"/>
        <v>34.670709364302397</v>
      </c>
      <c r="F350" s="304">
        <f t="shared" ca="1" si="155"/>
        <v>36.446240777245755</v>
      </c>
      <c r="G350" s="306">
        <f t="shared" ca="1" si="156"/>
        <v>46.638952536407189</v>
      </c>
      <c r="H350" s="307">
        <f t="shared" ca="1" si="157"/>
        <v>184.51807584806375</v>
      </c>
      <c r="I350" s="304">
        <f t="shared" ca="1" si="158"/>
        <v>190.32107662674949</v>
      </c>
      <c r="J350" s="306">
        <f t="shared" ca="1" si="159"/>
        <v>81.042436936447672</v>
      </c>
      <c r="K350" s="307">
        <f t="shared" ca="1" si="160"/>
        <v>348.45892796092164</v>
      </c>
      <c r="L350" s="304">
        <f t="shared" ca="1" si="145"/>
        <v>357.75899857344314</v>
      </c>
      <c r="M350" s="306">
        <f t="shared" ca="1" si="161"/>
        <v>1.3232208744646068</v>
      </c>
      <c r="N350" s="304">
        <f t="shared" ca="1" si="162"/>
        <v>75.814971470432098</v>
      </c>
      <c r="P350" s="310">
        <f t="shared" ca="1" si="163"/>
        <v>11</v>
      </c>
      <c r="Q350" s="304">
        <f t="shared" ca="1" si="164"/>
        <v>680.45000000000391</v>
      </c>
      <c r="R350" s="306">
        <f t="shared" ca="1" si="165"/>
        <v>0.34085935691584257</v>
      </c>
      <c r="S350" s="307">
        <f t="shared" ca="1" si="166"/>
        <v>12.706539375134469</v>
      </c>
      <c r="T350" s="304">
        <f t="shared" ca="1" si="146"/>
        <v>124.65115127006915</v>
      </c>
      <c r="U350" s="311">
        <f t="shared" ca="1" si="147"/>
        <v>0</v>
      </c>
      <c r="V350" s="306">
        <f t="shared" ca="1" si="148"/>
        <v>1.1830447651329927</v>
      </c>
      <c r="W350" s="304">
        <f t="shared" ca="1" si="149"/>
        <v>97.853213498607175</v>
      </c>
      <c r="Y350" s="314" t="str">
        <f t="shared" ca="1" si="167"/>
        <v/>
      </c>
      <c r="Z350" s="315" t="str">
        <f t="shared" ca="1" si="168"/>
        <v/>
      </c>
      <c r="AA350" s="316" t="str">
        <f t="shared" ca="1" si="169"/>
        <v/>
      </c>
      <c r="AC350" s="310" t="e">
        <f t="shared" ca="1" si="170"/>
        <v>#N/A</v>
      </c>
      <c r="AD350" s="323" t="e">
        <f t="shared" ca="1" si="171"/>
        <v>#N/A</v>
      </c>
      <c r="AE350" s="324">
        <f t="shared" ca="1" si="150"/>
        <v>348.45892796092164</v>
      </c>
      <c r="AG350" s="306">
        <f t="shared" ca="1" si="172"/>
        <v>36.36695089116504</v>
      </c>
      <c r="AH350" s="304">
        <f t="shared" ca="1" si="173"/>
        <v>45.878141685562902</v>
      </c>
    </row>
    <row r="351" spans="1:34" x14ac:dyDescent="0.25">
      <c r="A351" s="347">
        <f t="shared" ca="1" si="151"/>
        <v>0.01</v>
      </c>
      <c r="B351" s="304">
        <f t="shared" ca="1" si="152"/>
        <v>3.46999999999997</v>
      </c>
      <c r="D351" s="306">
        <f t="shared" ca="1" si="153"/>
        <v>11.213697397774936</v>
      </c>
      <c r="E351" s="307">
        <f t="shared" ca="1" si="154"/>
        <v>34.554844286858085</v>
      </c>
      <c r="F351" s="304">
        <f t="shared" ca="1" si="155"/>
        <v>36.328835282979732</v>
      </c>
      <c r="G351" s="306">
        <f t="shared" ca="1" si="156"/>
        <v>46.751089510384936</v>
      </c>
      <c r="H351" s="307">
        <f t="shared" ca="1" si="157"/>
        <v>184.86362429093234</v>
      </c>
      <c r="I351" s="304">
        <f t="shared" ca="1" si="158"/>
        <v>190.68357023190808</v>
      </c>
      <c r="J351" s="306">
        <f t="shared" ca="1" si="159"/>
        <v>81.509387146681632</v>
      </c>
      <c r="K351" s="307">
        <f t="shared" ca="1" si="160"/>
        <v>350.30583646161665</v>
      </c>
      <c r="L351" s="304">
        <f t="shared" ca="1" si="145"/>
        <v>359.66367519128278</v>
      </c>
      <c r="M351" s="306">
        <f t="shared" ca="1" si="161"/>
        <v>1.3230948027567861</v>
      </c>
      <c r="N351" s="304">
        <f t="shared" ca="1" si="162"/>
        <v>75.807748093657963</v>
      </c>
      <c r="P351" s="310">
        <f t="shared" ca="1" si="163"/>
        <v>11</v>
      </c>
      <c r="Q351" s="304">
        <f t="shared" ca="1" si="164"/>
        <v>679.15000000000396</v>
      </c>
      <c r="R351" s="306">
        <f t="shared" ca="1" si="165"/>
        <v>0.34020814497669855</v>
      </c>
      <c r="S351" s="307">
        <f t="shared" ca="1" si="166"/>
        <v>12.703137293684701</v>
      </c>
      <c r="T351" s="304">
        <f t="shared" ca="1" si="146"/>
        <v>124.61777685104693</v>
      </c>
      <c r="U351" s="311">
        <f t="shared" ca="1" si="147"/>
        <v>0</v>
      </c>
      <c r="V351" s="306">
        <f t="shared" ca="1" si="148"/>
        <v>1.1828262210785436</v>
      </c>
      <c r="W351" s="304">
        <f t="shared" ca="1" si="149"/>
        <v>98.208173885119194</v>
      </c>
      <c r="Y351" s="314" t="str">
        <f t="shared" ca="1" si="167"/>
        <v/>
      </c>
      <c r="Z351" s="315" t="str">
        <f t="shared" ca="1" si="168"/>
        <v/>
      </c>
      <c r="AA351" s="316" t="str">
        <f t="shared" ca="1" si="169"/>
        <v/>
      </c>
      <c r="AC351" s="310" t="e">
        <f t="shared" ca="1" si="170"/>
        <v>#N/A</v>
      </c>
      <c r="AD351" s="323" t="e">
        <f t="shared" ca="1" si="171"/>
        <v>#N/A</v>
      </c>
      <c r="AE351" s="324">
        <f t="shared" ca="1" si="150"/>
        <v>350.30583646161665</v>
      </c>
      <c r="AG351" s="306">
        <f t="shared" ca="1" si="172"/>
        <v>36.249208978903617</v>
      </c>
      <c r="AH351" s="304">
        <f t="shared" ca="1" si="173"/>
        <v>45.760096349614791</v>
      </c>
    </row>
    <row r="352" spans="1:34" x14ac:dyDescent="0.25">
      <c r="A352" s="347">
        <f t="shared" ca="1" si="151"/>
        <v>0.01</v>
      </c>
      <c r="B352" s="304">
        <f t="shared" ca="1" si="152"/>
        <v>3.4799999999999698</v>
      </c>
      <c r="D352" s="306">
        <f t="shared" ca="1" si="153"/>
        <v>11.190340173775708</v>
      </c>
      <c r="E352" s="307">
        <f t="shared" ca="1" si="154"/>
        <v>34.438954692554844</v>
      </c>
      <c r="F352" s="304">
        <f t="shared" ca="1" si="155"/>
        <v>36.211397563759725</v>
      </c>
      <c r="G352" s="306">
        <f t="shared" ca="1" si="156"/>
        <v>46.862992912122692</v>
      </c>
      <c r="H352" s="307">
        <f t="shared" ca="1" si="157"/>
        <v>185.20801383785789</v>
      </c>
      <c r="I352" s="304">
        <f t="shared" ca="1" si="158"/>
        <v>191.04488607247728</v>
      </c>
      <c r="J352" s="306">
        <f t="shared" ca="1" si="159"/>
        <v>81.977457558794171</v>
      </c>
      <c r="K352" s="307">
        <f t="shared" ca="1" si="160"/>
        <v>352.15619465226058</v>
      </c>
      <c r="L352" s="304">
        <f t="shared" ca="1" si="145"/>
        <v>361.57196929486213</v>
      </c>
      <c r="M352" s="306">
        <f t="shared" ca="1" si="161"/>
        <v>1.3229689067215984</v>
      </c>
      <c r="N352" s="304">
        <f t="shared" ca="1" si="162"/>
        <v>75.800534782184272</v>
      </c>
      <c r="P352" s="310">
        <f t="shared" ca="1" si="163"/>
        <v>11</v>
      </c>
      <c r="Q352" s="304">
        <f t="shared" ca="1" si="164"/>
        <v>677.85000000000389</v>
      </c>
      <c r="R352" s="306">
        <f t="shared" ca="1" si="165"/>
        <v>0.33955693303755441</v>
      </c>
      <c r="S352" s="307">
        <f t="shared" ca="1" si="166"/>
        <v>12.699741724354325</v>
      </c>
      <c r="T352" s="304">
        <f t="shared" ca="1" si="146"/>
        <v>124.58446631591593</v>
      </c>
      <c r="U352" s="311">
        <f t="shared" ca="1" si="147"/>
        <v>0</v>
      </c>
      <c r="V352" s="306">
        <f t="shared" ca="1" si="148"/>
        <v>1.1826073085993347</v>
      </c>
      <c r="W352" s="304">
        <f t="shared" ca="1" si="149"/>
        <v>98.562460161490606</v>
      </c>
      <c r="Y352" s="314" t="str">
        <f t="shared" ca="1" si="167"/>
        <v/>
      </c>
      <c r="Z352" s="315" t="str">
        <f t="shared" ca="1" si="168"/>
        <v/>
      </c>
      <c r="AA352" s="316" t="str">
        <f t="shared" ca="1" si="169"/>
        <v/>
      </c>
      <c r="AC352" s="310" t="e">
        <f t="shared" ca="1" si="170"/>
        <v>#N/A</v>
      </c>
      <c r="AD352" s="323" t="e">
        <f t="shared" ca="1" si="171"/>
        <v>#N/A</v>
      </c>
      <c r="AE352" s="324">
        <f t="shared" ca="1" si="150"/>
        <v>352.15619465226058</v>
      </c>
      <c r="AG352" s="306">
        <f t="shared" ca="1" si="172"/>
        <v>36.131432655648169</v>
      </c>
      <c r="AH352" s="304">
        <f t="shared" ca="1" si="173"/>
        <v>45.642016876871139</v>
      </c>
    </row>
    <row r="353" spans="1:34" x14ac:dyDescent="0.25">
      <c r="A353" s="347">
        <f t="shared" ca="1" si="151"/>
        <v>0.01</v>
      </c>
      <c r="B353" s="304">
        <f t="shared" ca="1" si="152"/>
        <v>3.4899999999999696</v>
      </c>
      <c r="D353" s="306">
        <f t="shared" ca="1" si="153"/>
        <v>11.166937958195419</v>
      </c>
      <c r="E353" s="307">
        <f t="shared" ca="1" si="154"/>
        <v>34.323041262777423</v>
      </c>
      <c r="F353" s="304">
        <f t="shared" ca="1" si="155"/>
        <v>36.093928365980155</v>
      </c>
      <c r="G353" s="306">
        <f t="shared" ca="1" si="156"/>
        <v>46.974662291704647</v>
      </c>
      <c r="H353" s="307">
        <f t="shared" ca="1" si="157"/>
        <v>185.55124425048567</v>
      </c>
      <c r="I353" s="304">
        <f t="shared" ca="1" si="158"/>
        <v>191.40502381161025</v>
      </c>
      <c r="J353" s="306">
        <f t="shared" ca="1" si="159"/>
        <v>82.44664583481331</v>
      </c>
      <c r="K353" s="307">
        <f t="shared" ca="1" si="160"/>
        <v>354.0099909427023</v>
      </c>
      <c r="L353" s="304">
        <f t="shared" ca="1" si="145"/>
        <v>363.48386910104182</v>
      </c>
      <c r="M353" s="306">
        <f t="shared" ca="1" si="161"/>
        <v>1.3228431850112803</v>
      </c>
      <c r="N353" s="304">
        <f t="shared" ca="1" si="162"/>
        <v>75.793331458789879</v>
      </c>
      <c r="P353" s="310">
        <f t="shared" ca="1" si="163"/>
        <v>11</v>
      </c>
      <c r="Q353" s="304">
        <f t="shared" ca="1" si="164"/>
        <v>676.55000000000393</v>
      </c>
      <c r="R353" s="306">
        <f t="shared" ca="1" si="165"/>
        <v>0.33890572109841033</v>
      </c>
      <c r="S353" s="307">
        <f t="shared" ca="1" si="166"/>
        <v>12.696352667143341</v>
      </c>
      <c r="T353" s="304">
        <f t="shared" ca="1" si="146"/>
        <v>124.55121966467618</v>
      </c>
      <c r="U353" s="311">
        <f t="shared" ca="1" si="147"/>
        <v>0</v>
      </c>
      <c r="V353" s="306">
        <f t="shared" ca="1" si="148"/>
        <v>1.1823880292779867</v>
      </c>
      <c r="W353" s="304">
        <f t="shared" ca="1" si="149"/>
        <v>98.916065150834896</v>
      </c>
      <c r="Y353" s="314" t="str">
        <f t="shared" ca="1" si="167"/>
        <v/>
      </c>
      <c r="Z353" s="315" t="str">
        <f t="shared" ca="1" si="168"/>
        <v/>
      </c>
      <c r="AA353" s="316" t="str">
        <f t="shared" ca="1" si="169"/>
        <v/>
      </c>
      <c r="AC353" s="310" t="e">
        <f t="shared" ca="1" si="170"/>
        <v>#N/A</v>
      </c>
      <c r="AD353" s="323" t="e">
        <f t="shared" ca="1" si="171"/>
        <v>#N/A</v>
      </c>
      <c r="AE353" s="324">
        <f t="shared" ca="1" si="150"/>
        <v>354.0099909427023</v>
      </c>
      <c r="AG353" s="306">
        <f t="shared" ca="1" si="172"/>
        <v>36.013622646401046</v>
      </c>
      <c r="AH353" s="304">
        <f t="shared" ca="1" si="173"/>
        <v>45.523903989708536</v>
      </c>
    </row>
    <row r="354" spans="1:34" x14ac:dyDescent="0.25">
      <c r="A354" s="347">
        <f t="shared" ca="1" si="151"/>
        <v>0.01</v>
      </c>
      <c r="B354" s="304">
        <f t="shared" ca="1" si="152"/>
        <v>3.4999999999999694</v>
      </c>
      <c r="D354" s="306">
        <f t="shared" ca="1" si="153"/>
        <v>11.143491037314453</v>
      </c>
      <c r="E354" s="307">
        <f t="shared" ca="1" si="154"/>
        <v>34.207104677152067</v>
      </c>
      <c r="F354" s="304">
        <f t="shared" ca="1" si="155"/>
        <v>35.976428434356102</v>
      </c>
      <c r="G354" s="306">
        <f t="shared" ca="1" si="156"/>
        <v>47.086097202077788</v>
      </c>
      <c r="H354" s="307">
        <f t="shared" ca="1" si="157"/>
        <v>185.89331529725717</v>
      </c>
      <c r="I354" s="304">
        <f t="shared" ca="1" si="158"/>
        <v>191.76398311969061</v>
      </c>
      <c r="J354" s="306">
        <f t="shared" ca="1" si="159"/>
        <v>82.916949632282225</v>
      </c>
      <c r="K354" s="307">
        <f t="shared" ca="1" si="160"/>
        <v>355.867213740441</v>
      </c>
      <c r="L354" s="304">
        <f t="shared" ca="1" si="145"/>
        <v>365.39936282334588</v>
      </c>
      <c r="M354" s="306">
        <f t="shared" ca="1" si="161"/>
        <v>1.3227176362879831</v>
      </c>
      <c r="N354" s="304">
        <f t="shared" ca="1" si="162"/>
        <v>75.786138046821705</v>
      </c>
      <c r="P354" s="310">
        <f t="shared" ca="1" si="163"/>
        <v>11</v>
      </c>
      <c r="Q354" s="304">
        <f t="shared" ca="1" si="164"/>
        <v>675.25000000000398</v>
      </c>
      <c r="R354" s="306">
        <f t="shared" ca="1" si="165"/>
        <v>0.33825450915926625</v>
      </c>
      <c r="S354" s="307">
        <f t="shared" ca="1" si="166"/>
        <v>12.692970122051747</v>
      </c>
      <c r="T354" s="304">
        <f t="shared" ca="1" si="146"/>
        <v>124.51803689732765</v>
      </c>
      <c r="U354" s="311">
        <f t="shared" ca="1" si="147"/>
        <v>0</v>
      </c>
      <c r="V354" s="306">
        <f t="shared" ca="1" si="148"/>
        <v>1.1821683846966953</v>
      </c>
      <c r="W354" s="304">
        <f t="shared" ca="1" si="149"/>
        <v>99.268981711886326</v>
      </c>
      <c r="Y354" s="314" t="str">
        <f t="shared" ca="1" si="167"/>
        <v/>
      </c>
      <c r="Z354" s="315" t="str">
        <f t="shared" ca="1" si="168"/>
        <v/>
      </c>
      <c r="AA354" s="316" t="str">
        <f t="shared" ca="1" si="169"/>
        <v>Satellite</v>
      </c>
      <c r="AC354" s="310" t="e">
        <f t="shared" ca="1" si="170"/>
        <v>#N/A</v>
      </c>
      <c r="AD354" s="323" t="e">
        <f t="shared" ca="1" si="171"/>
        <v>#N/A</v>
      </c>
      <c r="AE354" s="324">
        <f t="shared" ca="1" si="150"/>
        <v>355.867213740441</v>
      </c>
      <c r="AG354" s="306">
        <f t="shared" ca="1" si="172"/>
        <v>35.895779674221373</v>
      </c>
      <c r="AH354" s="304">
        <f t="shared" ca="1" si="173"/>
        <v>45.4057584085771</v>
      </c>
    </row>
    <row r="355" spans="1:34" x14ac:dyDescent="0.25">
      <c r="A355" s="347">
        <f t="shared" ca="1" si="151"/>
        <v>0.01</v>
      </c>
      <c r="B355" s="304">
        <f t="shared" ca="1" si="152"/>
        <v>3.5099999999999691</v>
      </c>
      <c r="D355" s="306">
        <f t="shared" ca="1" si="153"/>
        <v>11.119999696255645</v>
      </c>
      <c r="E355" s="307">
        <f t="shared" ca="1" si="154"/>
        <v>34.091145613534479</v>
      </c>
      <c r="F355" s="304">
        <f t="shared" ca="1" si="155"/>
        <v>35.858898511916635</v>
      </c>
      <c r="G355" s="306">
        <f t="shared" ca="1" si="156"/>
        <v>47.197297199040342</v>
      </c>
      <c r="H355" s="307">
        <f t="shared" ca="1" si="157"/>
        <v>186.23422675339253</v>
      </c>
      <c r="I355" s="304">
        <f t="shared" ca="1" si="158"/>
        <v>192.12176367431297</v>
      </c>
      <c r="J355" s="306">
        <f t="shared" ca="1" si="159"/>
        <v>83.38836660428781</v>
      </c>
      <c r="K355" s="307">
        <f t="shared" ca="1" si="160"/>
        <v>357.72785145069423</v>
      </c>
      <c r="L355" s="304">
        <f t="shared" ca="1" si="145"/>
        <v>367.31843867203435</v>
      </c>
      <c r="M355" s="306">
        <f t="shared" ca="1" si="161"/>
        <v>1.3225922592236599</v>
      </c>
      <c r="N355" s="304">
        <f t="shared" ca="1" si="162"/>
        <v>75.778954470188239</v>
      </c>
      <c r="P355" s="310">
        <f t="shared" ca="1" si="163"/>
        <v>11</v>
      </c>
      <c r="Q355" s="304">
        <f t="shared" ca="1" si="164"/>
        <v>673.95000000000402</v>
      </c>
      <c r="R355" s="306">
        <f t="shared" ca="1" si="165"/>
        <v>0.33760329722012222</v>
      </c>
      <c r="S355" s="307">
        <f t="shared" ca="1" si="166"/>
        <v>12.689594089079547</v>
      </c>
      <c r="T355" s="304">
        <f t="shared" ca="1" si="146"/>
        <v>124.48491801387036</v>
      </c>
      <c r="U355" s="311">
        <f t="shared" ca="1" si="147"/>
        <v>0</v>
      </c>
      <c r="V355" s="306">
        <f t="shared" ca="1" si="148"/>
        <v>1.181948376437219</v>
      </c>
      <c r="W355" s="304">
        <f t="shared" ca="1" si="149"/>
        <v>99.621202739059115</v>
      </c>
      <c r="Y355" s="314" t="str">
        <f t="shared" ca="1" si="167"/>
        <v/>
      </c>
      <c r="Z355" s="315" t="str">
        <f t="shared" ca="1" si="168"/>
        <v/>
      </c>
      <c r="AA355" s="316" t="str">
        <f t="shared" ca="1" si="169"/>
        <v/>
      </c>
      <c r="AC355" s="310" t="e">
        <f t="shared" ca="1" si="170"/>
        <v>#N/A</v>
      </c>
      <c r="AD355" s="323" t="e">
        <f t="shared" ca="1" si="171"/>
        <v>#N/A</v>
      </c>
      <c r="AE355" s="324">
        <f t="shared" ca="1" si="150"/>
        <v>357.72785145069423</v>
      </c>
      <c r="AG355" s="306">
        <f t="shared" ca="1" si="172"/>
        <v>35.777904460214309</v>
      </c>
      <c r="AH355" s="304">
        <f t="shared" ca="1" si="173"/>
        <v>45.287580851989475</v>
      </c>
    </row>
    <row r="356" spans="1:34" x14ac:dyDescent="0.25">
      <c r="A356" s="347">
        <f t="shared" ca="1" si="151"/>
        <v>0.01</v>
      </c>
      <c r="B356" s="304">
        <f t="shared" ca="1" si="152"/>
        <v>3.5199999999999689</v>
      </c>
      <c r="D356" s="306">
        <f t="shared" ca="1" si="153"/>
        <v>11.096464218989539</v>
      </c>
      <c r="E356" s="307">
        <f t="shared" ca="1" si="154"/>
        <v>33.975164747997951</v>
      </c>
      <c r="F356" s="304">
        <f t="shared" ca="1" si="155"/>
        <v>35.741339339998412</v>
      </c>
      <c r="G356" s="306">
        <f t="shared" ca="1" si="156"/>
        <v>47.308261841230241</v>
      </c>
      <c r="H356" s="307">
        <f t="shared" ca="1" si="157"/>
        <v>186.57397840087251</v>
      </c>
      <c r="I356" s="304">
        <f t="shared" ca="1" si="158"/>
        <v>192.47836516026325</v>
      </c>
      <c r="J356" s="306">
        <f t="shared" ca="1" si="159"/>
        <v>83.860894399489169</v>
      </c>
      <c r="K356" s="307">
        <f t="shared" ca="1" si="160"/>
        <v>359.59189247646555</v>
      </c>
      <c r="L356" s="304">
        <f t="shared" ca="1" si="145"/>
        <v>369.24108485417526</v>
      </c>
      <c r="M356" s="306">
        <f t="shared" ca="1" si="161"/>
        <v>1.3224670524999558</v>
      </c>
      <c r="N356" s="304">
        <f t="shared" ca="1" si="162"/>
        <v>75.771780653353332</v>
      </c>
      <c r="P356" s="310">
        <f t="shared" ca="1" si="163"/>
        <v>11</v>
      </c>
      <c r="Q356" s="304">
        <f t="shared" ca="1" si="164"/>
        <v>672.65000000000407</v>
      </c>
      <c r="R356" s="306">
        <f t="shared" ca="1" si="165"/>
        <v>0.33695208528097814</v>
      </c>
      <c r="S356" s="307">
        <f t="shared" ca="1" si="166"/>
        <v>12.686224568226738</v>
      </c>
      <c r="T356" s="304">
        <f t="shared" ca="1" si="146"/>
        <v>124.45186301430431</v>
      </c>
      <c r="U356" s="311">
        <f t="shared" ca="1" si="147"/>
        <v>0</v>
      </c>
      <c r="V356" s="306">
        <f t="shared" ca="1" si="148"/>
        <v>1.1817280060808637</v>
      </c>
      <c r="W356" s="304">
        <f t="shared" ca="1" si="149"/>
        <v>99.972721162505053</v>
      </c>
      <c r="Y356" s="314" t="str">
        <f t="shared" ca="1" si="167"/>
        <v/>
      </c>
      <c r="Z356" s="315" t="str">
        <f t="shared" ca="1" si="168"/>
        <v/>
      </c>
      <c r="AA356" s="316" t="str">
        <f t="shared" ca="1" si="169"/>
        <v/>
      </c>
      <c r="AC356" s="310" t="e">
        <f t="shared" ca="1" si="170"/>
        <v>#N/A</v>
      </c>
      <c r="AD356" s="323" t="e">
        <f t="shared" ca="1" si="171"/>
        <v>#N/A</v>
      </c>
      <c r="AE356" s="324">
        <f t="shared" ca="1" si="150"/>
        <v>359.59189247646555</v>
      </c>
      <c r="AG356" s="306">
        <f t="shared" ca="1" si="172"/>
        <v>35.659997723520192</v>
      </c>
      <c r="AH356" s="304">
        <f t="shared" ca="1" si="173"/>
        <v>45.169372036509849</v>
      </c>
    </row>
    <row r="357" spans="1:34" x14ac:dyDescent="0.25">
      <c r="A357" s="347">
        <f t="shared" ca="1" si="151"/>
        <v>0.01</v>
      </c>
      <c r="B357" s="304">
        <f t="shared" ca="1" si="152"/>
        <v>3.5299999999999687</v>
      </c>
      <c r="D357" s="306">
        <f t="shared" ca="1" si="153"/>
        <v>11.072884888339486</v>
      </c>
      <c r="E357" s="307">
        <f t="shared" ca="1" si="154"/>
        <v>33.859162754821583</v>
      </c>
      <c r="F357" s="304">
        <f t="shared" ca="1" si="155"/>
        <v>35.623751658239392</v>
      </c>
      <c r="G357" s="306">
        <f t="shared" ca="1" si="156"/>
        <v>47.418990690113638</v>
      </c>
      <c r="H357" s="307">
        <f t="shared" ca="1" si="157"/>
        <v>186.91257002842073</v>
      </c>
      <c r="I357" s="304">
        <f t="shared" ca="1" si="158"/>
        <v>192.83378726949894</v>
      </c>
      <c r="J357" s="306">
        <f t="shared" ca="1" si="159"/>
        <v>84.334530662145895</v>
      </c>
      <c r="K357" s="307">
        <f t="shared" ca="1" si="160"/>
        <v>361.45932521861204</v>
      </c>
      <c r="L357" s="304">
        <f t="shared" ca="1" si="145"/>
        <v>371.16728957371606</v>
      </c>
      <c r="M357" s="306">
        <f t="shared" ca="1" si="161"/>
        <v>1.3223420148080969</v>
      </c>
      <c r="N357" s="304">
        <f t="shared" ca="1" si="162"/>
        <v>75.764616521329756</v>
      </c>
      <c r="P357" s="310">
        <f t="shared" ca="1" si="163"/>
        <v>11</v>
      </c>
      <c r="Q357" s="304">
        <f t="shared" ca="1" si="164"/>
        <v>671.35000000000412</v>
      </c>
      <c r="R357" s="306">
        <f t="shared" ca="1" si="165"/>
        <v>0.33630087334183406</v>
      </c>
      <c r="S357" s="307">
        <f t="shared" ca="1" si="166"/>
        <v>12.68286155949332</v>
      </c>
      <c r="T357" s="304">
        <f t="shared" ca="1" si="146"/>
        <v>124.41887189862948</v>
      </c>
      <c r="U357" s="311">
        <f t="shared" ca="1" si="147"/>
        <v>0</v>
      </c>
      <c r="V357" s="306">
        <f t="shared" ca="1" si="148"/>
        <v>1.1815072752084732</v>
      </c>
      <c r="W357" s="304">
        <f t="shared" ca="1" si="149"/>
        <v>100.32352994817032</v>
      </c>
      <c r="Y357" s="314" t="str">
        <f t="shared" ca="1" si="167"/>
        <v/>
      </c>
      <c r="Z357" s="315" t="str">
        <f t="shared" ca="1" si="168"/>
        <v/>
      </c>
      <c r="AA357" s="316" t="str">
        <f t="shared" ca="1" si="169"/>
        <v/>
      </c>
      <c r="AC357" s="310" t="e">
        <f t="shared" ca="1" si="170"/>
        <v>#N/A</v>
      </c>
      <c r="AD357" s="323" t="e">
        <f t="shared" ca="1" si="171"/>
        <v>#N/A</v>
      </c>
      <c r="AE357" s="324">
        <f t="shared" ca="1" si="150"/>
        <v>361.45932521861204</v>
      </c>
      <c r="AG357" s="306">
        <f t="shared" ca="1" si="172"/>
        <v>35.54206018130396</v>
      </c>
      <c r="AH357" s="304">
        <f t="shared" ca="1" si="173"/>
        <v>45.051132676743144</v>
      </c>
    </row>
    <row r="358" spans="1:34" x14ac:dyDescent="0.25">
      <c r="A358" s="347">
        <f t="shared" ca="1" si="151"/>
        <v>0.01</v>
      </c>
      <c r="B358" s="304">
        <f t="shared" ca="1" si="152"/>
        <v>3.5399999999999685</v>
      </c>
      <c r="D358" s="306">
        <f t="shared" ca="1" si="153"/>
        <v>11.049261985986799</v>
      </c>
      <c r="E358" s="307">
        <f t="shared" ca="1" si="154"/>
        <v>33.743140306478679</v>
      </c>
      <c r="F358" s="304">
        <f t="shared" ca="1" si="155"/>
        <v>35.506136204572847</v>
      </c>
      <c r="G358" s="306">
        <f t="shared" ca="1" si="156"/>
        <v>47.529483309973507</v>
      </c>
      <c r="H358" s="307">
        <f t="shared" ca="1" si="157"/>
        <v>187.25000143148552</v>
      </c>
      <c r="I358" s="304">
        <f t="shared" ca="1" si="158"/>
        <v>193.18802970112921</v>
      </c>
      <c r="J358" s="306">
        <f t="shared" ca="1" si="159"/>
        <v>84.809273032146336</v>
      </c>
      <c r="K358" s="307">
        <f t="shared" ca="1" si="160"/>
        <v>363.33013807591158</v>
      </c>
      <c r="L358" s="304">
        <f t="shared" ca="1" si="145"/>
        <v>373.09704103155536</v>
      </c>
      <c r="M358" s="306">
        <f t="shared" ca="1" si="161"/>
        <v>1.3222171448487829</v>
      </c>
      <c r="N358" s="304">
        <f t="shared" ca="1" si="162"/>
        <v>75.757461999673097</v>
      </c>
      <c r="P358" s="310">
        <f t="shared" ca="1" si="163"/>
        <v>11</v>
      </c>
      <c r="Q358" s="304">
        <f t="shared" ca="1" si="164"/>
        <v>670.05000000000405</v>
      </c>
      <c r="R358" s="306">
        <f t="shared" ca="1" si="165"/>
        <v>0.33564966140268998</v>
      </c>
      <c r="S358" s="307">
        <f t="shared" ca="1" si="166"/>
        <v>12.679505062879294</v>
      </c>
      <c r="T358" s="304">
        <f t="shared" ca="1" si="146"/>
        <v>124.38594466684587</v>
      </c>
      <c r="U358" s="311">
        <f t="shared" ca="1" si="147"/>
        <v>0</v>
      </c>
      <c r="V358" s="306">
        <f t="shared" ca="1" si="148"/>
        <v>1.1812861854004155</v>
      </c>
      <c r="W358" s="304">
        <f t="shared" ca="1" si="149"/>
        <v>100.67362209785027</v>
      </c>
      <c r="Y358" s="314" t="str">
        <f t="shared" ca="1" si="167"/>
        <v/>
      </c>
      <c r="Z358" s="315" t="str">
        <f t="shared" ca="1" si="168"/>
        <v/>
      </c>
      <c r="AA358" s="316" t="str">
        <f t="shared" ca="1" si="169"/>
        <v/>
      </c>
      <c r="AC358" s="310" t="e">
        <f t="shared" ca="1" si="170"/>
        <v>#N/A</v>
      </c>
      <c r="AD358" s="323" t="e">
        <f t="shared" ca="1" si="171"/>
        <v>#N/A</v>
      </c>
      <c r="AE358" s="324">
        <f t="shared" ca="1" si="150"/>
        <v>363.33013807591158</v>
      </c>
      <c r="AG358" s="306">
        <f t="shared" ca="1" si="172"/>
        <v>35.424092548744596</v>
      </c>
      <c r="AH358" s="304">
        <f t="shared" ca="1" si="173"/>
        <v>44.932863485324312</v>
      </c>
    </row>
    <row r="359" spans="1:34" x14ac:dyDescent="0.25">
      <c r="A359" s="347">
        <f t="shared" ca="1" si="151"/>
        <v>0.01</v>
      </c>
      <c r="B359" s="304">
        <f t="shared" ca="1" si="152"/>
        <v>3.5499999999999683</v>
      </c>
      <c r="D359" s="306">
        <f t="shared" ca="1" si="153"/>
        <v>11.025595792475668</v>
      </c>
      <c r="E359" s="307">
        <f t="shared" ca="1" si="154"/>
        <v>33.62709807362517</v>
      </c>
      <c r="F359" s="304">
        <f t="shared" ca="1" si="155"/>
        <v>35.388493715221372</v>
      </c>
      <c r="G359" s="306">
        <f t="shared" ca="1" si="156"/>
        <v>47.639739267898264</v>
      </c>
      <c r="H359" s="307">
        <f t="shared" ca="1" si="157"/>
        <v>187.58627241222177</v>
      </c>
      <c r="I359" s="304">
        <f t="shared" ca="1" si="158"/>
        <v>193.54109216139503</v>
      </c>
      <c r="J359" s="306">
        <f t="shared" ca="1" si="159"/>
        <v>85.285119145035694</v>
      </c>
      <c r="K359" s="307">
        <f t="shared" ca="1" si="160"/>
        <v>365.20431944513012</v>
      </c>
      <c r="L359" s="304">
        <f t="shared" ca="1" si="145"/>
        <v>375.03032742561442</v>
      </c>
      <c r="M359" s="306">
        <f t="shared" ca="1" si="161"/>
        <v>1.3220924413320809</v>
      </c>
      <c r="N359" s="304">
        <f t="shared" ca="1" si="162"/>
        <v>75.750317014475641</v>
      </c>
      <c r="P359" s="310">
        <f t="shared" ca="1" si="163"/>
        <v>11</v>
      </c>
      <c r="Q359" s="304">
        <f t="shared" ca="1" si="164"/>
        <v>668.75000000000409</v>
      </c>
      <c r="R359" s="306">
        <f t="shared" ca="1" si="165"/>
        <v>0.3349984494635459</v>
      </c>
      <c r="S359" s="307">
        <f t="shared" ca="1" si="166"/>
        <v>12.676155078384658</v>
      </c>
      <c r="T359" s="304">
        <f t="shared" ca="1" si="146"/>
        <v>124.3530813189535</v>
      </c>
      <c r="U359" s="311">
        <f t="shared" ca="1" si="147"/>
        <v>0</v>
      </c>
      <c r="V359" s="306">
        <f t="shared" ca="1" si="148"/>
        <v>1.1810647382365698</v>
      </c>
      <c r="W359" s="304">
        <f t="shared" ca="1" si="149"/>
        <v>101.02299064924317</v>
      </c>
      <c r="Y359" s="314" t="str">
        <f t="shared" ca="1" si="167"/>
        <v/>
      </c>
      <c r="Z359" s="315" t="str">
        <f t="shared" ca="1" si="168"/>
        <v/>
      </c>
      <c r="AA359" s="316" t="str">
        <f t="shared" ca="1" si="169"/>
        <v/>
      </c>
      <c r="AC359" s="310" t="e">
        <f t="shared" ca="1" si="170"/>
        <v>#N/A</v>
      </c>
      <c r="AD359" s="323" t="e">
        <f t="shared" ca="1" si="171"/>
        <v>#N/A</v>
      </c>
      <c r="AE359" s="324">
        <f t="shared" ca="1" si="150"/>
        <v>365.20431944513012</v>
      </c>
      <c r="AG359" s="306">
        <f t="shared" ca="1" si="172"/>
        <v>35.306095539024675</v>
      </c>
      <c r="AH359" s="304">
        <f t="shared" ca="1" si="173"/>
        <v>44.81456517290767</v>
      </c>
    </row>
    <row r="360" spans="1:34" x14ac:dyDescent="0.25">
      <c r="A360" s="347">
        <f t="shared" ca="1" si="151"/>
        <v>0.01</v>
      </c>
      <c r="B360" s="304">
        <f t="shared" ca="1" si="152"/>
        <v>3.5599999999999681</v>
      </c>
      <c r="D360" s="306">
        <f t="shared" ca="1" si="153"/>
        <v>11.001886587218033</v>
      </c>
      <c r="E360" s="307">
        <f t="shared" ca="1" si="154"/>
        <v>33.511036725088282</v>
      </c>
      <c r="F360" s="304">
        <f t="shared" ca="1" si="155"/>
        <v>35.270824924691283</v>
      </c>
      <c r="G360" s="306">
        <f t="shared" ca="1" si="156"/>
        <v>47.749758133770442</v>
      </c>
      <c r="H360" s="307">
        <f t="shared" ca="1" si="157"/>
        <v>187.92138277947265</v>
      </c>
      <c r="I360" s="304">
        <f t="shared" ca="1" si="158"/>
        <v>193.89297436364902</v>
      </c>
      <c r="J360" s="306">
        <f t="shared" ca="1" si="159"/>
        <v>85.762066632044039</v>
      </c>
      <c r="K360" s="307">
        <f t="shared" ca="1" si="160"/>
        <v>367.08185772108862</v>
      </c>
      <c r="L360" s="304">
        <f t="shared" ca="1" si="145"/>
        <v>376.96713695090813</v>
      </c>
      <c r="M360" s="306">
        <f t="shared" ca="1" si="161"/>
        <v>1.3219679029773193</v>
      </c>
      <c r="N360" s="304">
        <f t="shared" ca="1" si="162"/>
        <v>75.743181492360293</v>
      </c>
      <c r="P360" s="310">
        <f t="shared" ca="1" si="163"/>
        <v>11</v>
      </c>
      <c r="Q360" s="304">
        <f t="shared" ca="1" si="164"/>
        <v>667.45000000000414</v>
      </c>
      <c r="R360" s="306">
        <f t="shared" ca="1" si="165"/>
        <v>0.33434723752440182</v>
      </c>
      <c r="S360" s="307">
        <f t="shared" ca="1" si="166"/>
        <v>12.672811606009414</v>
      </c>
      <c r="T360" s="304">
        <f t="shared" ca="1" si="146"/>
        <v>124.32028185495236</v>
      </c>
      <c r="U360" s="311">
        <f t="shared" ca="1" si="147"/>
        <v>0</v>
      </c>
      <c r="V360" s="306">
        <f t="shared" ca="1" si="148"/>
        <v>1.1808429352963137</v>
      </c>
      <c r="W360" s="304">
        <f t="shared" ca="1" si="149"/>
        <v>101.37162867600215</v>
      </c>
      <c r="Y360" s="314" t="str">
        <f t="shared" ca="1" si="167"/>
        <v/>
      </c>
      <c r="Z360" s="315" t="str">
        <f t="shared" ca="1" si="168"/>
        <v/>
      </c>
      <c r="AA360" s="316" t="str">
        <f t="shared" ca="1" si="169"/>
        <v/>
      </c>
      <c r="AC360" s="310" t="e">
        <f t="shared" ca="1" si="170"/>
        <v>#N/A</v>
      </c>
      <c r="AD360" s="323" t="e">
        <f t="shared" ca="1" si="171"/>
        <v>#N/A</v>
      </c>
      <c r="AE360" s="324">
        <f t="shared" ca="1" si="150"/>
        <v>367.08185772108862</v>
      </c>
      <c r="AG360" s="306">
        <f t="shared" ca="1" si="172"/>
        <v>35.188069863320059</v>
      </c>
      <c r="AH360" s="304">
        <f t="shared" ca="1" si="173"/>
        <v>44.696238448156421</v>
      </c>
    </row>
    <row r="361" spans="1:34" x14ac:dyDescent="0.25">
      <c r="A361" s="347">
        <f t="shared" ca="1" si="151"/>
        <v>0.01</v>
      </c>
      <c r="B361" s="304">
        <f t="shared" ca="1" si="152"/>
        <v>3.5699999999999679</v>
      </c>
      <c r="D361" s="306">
        <f t="shared" ca="1" si="153"/>
        <v>10.978134648498404</v>
      </c>
      <c r="E361" s="307">
        <f t="shared" ca="1" si="154"/>
        <v>33.394956927855276</v>
      </c>
      <c r="F361" s="304">
        <f t="shared" ca="1" si="155"/>
        <v>35.153130565767114</v>
      </c>
      <c r="G361" s="306">
        <f t="shared" ca="1" si="156"/>
        <v>47.859539480255428</v>
      </c>
      <c r="H361" s="307">
        <f t="shared" ca="1" si="157"/>
        <v>188.25533234875121</v>
      </c>
      <c r="I361" s="304">
        <f t="shared" ca="1" si="158"/>
        <v>194.24367602833536</v>
      </c>
      <c r="J361" s="306">
        <f t="shared" ca="1" si="159"/>
        <v>86.240113120114174</v>
      </c>
      <c r="K361" s="307">
        <f t="shared" ca="1" si="160"/>
        <v>368.96274129672975</v>
      </c>
      <c r="L361" s="304">
        <f t="shared" ca="1" si="145"/>
        <v>378.90745779961583</v>
      </c>
      <c r="M361" s="306">
        <f t="shared" ca="1" si="161"/>
        <v>1.321843528512985</v>
      </c>
      <c r="N361" s="304">
        <f t="shared" ca="1" si="162"/>
        <v>75.736055360474737</v>
      </c>
      <c r="P361" s="310">
        <f t="shared" ca="1" si="163"/>
        <v>11</v>
      </c>
      <c r="Q361" s="304">
        <f t="shared" ca="1" si="164"/>
        <v>666.15000000000418</v>
      </c>
      <c r="R361" s="306">
        <f t="shared" ca="1" si="165"/>
        <v>0.33369602558525779</v>
      </c>
      <c r="S361" s="307">
        <f t="shared" ca="1" si="166"/>
        <v>12.669474645753562</v>
      </c>
      <c r="T361" s="304">
        <f t="shared" ca="1" si="146"/>
        <v>124.28754627484244</v>
      </c>
      <c r="U361" s="311">
        <f t="shared" ca="1" si="147"/>
        <v>0</v>
      </c>
      <c r="V361" s="306">
        <f t="shared" ca="1" si="148"/>
        <v>1.180620778158513</v>
      </c>
      <c r="W361" s="304">
        <f t="shared" ca="1" si="149"/>
        <v>101.71952928778624</v>
      </c>
      <c r="Y361" s="314" t="str">
        <f t="shared" ca="1" si="167"/>
        <v/>
      </c>
      <c r="Z361" s="315" t="str">
        <f t="shared" ca="1" si="168"/>
        <v/>
      </c>
      <c r="AA361" s="316" t="str">
        <f t="shared" ca="1" si="169"/>
        <v/>
      </c>
      <c r="AC361" s="310" t="e">
        <f t="shared" ca="1" si="170"/>
        <v>#N/A</v>
      </c>
      <c r="AD361" s="323" t="e">
        <f t="shared" ca="1" si="171"/>
        <v>#N/A</v>
      </c>
      <c r="AE361" s="324">
        <f t="shared" ca="1" si="150"/>
        <v>368.96274129672975</v>
      </c>
      <c r="AG361" s="306">
        <f t="shared" ca="1" si="172"/>
        <v>35.070016230789676</v>
      </c>
      <c r="AH361" s="304">
        <f t="shared" ca="1" si="173"/>
        <v>44.577884017732281</v>
      </c>
    </row>
    <row r="362" spans="1:34" x14ac:dyDescent="0.25">
      <c r="A362" s="347">
        <f t="shared" ca="1" si="151"/>
        <v>0.01</v>
      </c>
      <c r="B362" s="304">
        <f t="shared" ca="1" si="152"/>
        <v>3.5799999999999677</v>
      </c>
      <c r="D362" s="306">
        <f t="shared" ca="1" si="153"/>
        <v>10.954340253478504</v>
      </c>
      <c r="E362" s="307">
        <f t="shared" ca="1" si="154"/>
        <v>33.278859347062266</v>
      </c>
      <c r="F362" s="304">
        <f t="shared" ca="1" si="155"/>
        <v>35.035411369506328</v>
      </c>
      <c r="G362" s="306">
        <f t="shared" ca="1" si="156"/>
        <v>47.969082882790211</v>
      </c>
      <c r="H362" s="307">
        <f t="shared" ca="1" si="157"/>
        <v>188.58812094222182</v>
      </c>
      <c r="I362" s="304">
        <f t="shared" ca="1" si="158"/>
        <v>194.59319688296938</v>
      </c>
      <c r="J362" s="306">
        <f t="shared" ca="1" si="159"/>
        <v>86.719256231929407</v>
      </c>
      <c r="K362" s="307">
        <f t="shared" ca="1" si="160"/>
        <v>370.84695856318461</v>
      </c>
      <c r="L362" s="304">
        <f t="shared" ca="1" si="145"/>
        <v>380.85127816115227</v>
      </c>
      <c r="M362" s="306">
        <f t="shared" ca="1" si="161"/>
        <v>1.3217193166766199</v>
      </c>
      <c r="N362" s="304">
        <f t="shared" ca="1" si="162"/>
        <v>75.728938546485452</v>
      </c>
      <c r="P362" s="310">
        <f t="shared" ca="1" si="163"/>
        <v>11</v>
      </c>
      <c r="Q362" s="304">
        <f t="shared" ca="1" si="164"/>
        <v>664.85000000000423</v>
      </c>
      <c r="R362" s="306">
        <f t="shared" ca="1" si="165"/>
        <v>0.33304481364611371</v>
      </c>
      <c r="S362" s="307">
        <f t="shared" ca="1" si="166"/>
        <v>12.666144197617101</v>
      </c>
      <c r="T362" s="304">
        <f t="shared" ca="1" si="146"/>
        <v>124.25487457862376</v>
      </c>
      <c r="U362" s="311">
        <f t="shared" ca="1" si="147"/>
        <v>0</v>
      </c>
      <c r="V362" s="306">
        <f t="shared" ca="1" si="148"/>
        <v>1.1803982684015077</v>
      </c>
      <c r="W362" s="304">
        <f t="shared" ca="1" si="149"/>
        <v>102.06668563030959</v>
      </c>
      <c r="Y362" s="314" t="str">
        <f t="shared" ca="1" si="167"/>
        <v/>
      </c>
      <c r="Z362" s="315" t="str">
        <f t="shared" ca="1" si="168"/>
        <v/>
      </c>
      <c r="AA362" s="316" t="str">
        <f t="shared" ca="1" si="169"/>
        <v/>
      </c>
      <c r="AC362" s="310" t="e">
        <f t="shared" ca="1" si="170"/>
        <v>#N/A</v>
      </c>
      <c r="AD362" s="323" t="e">
        <f t="shared" ca="1" si="171"/>
        <v>#N/A</v>
      </c>
      <c r="AE362" s="324">
        <f t="shared" ca="1" si="150"/>
        <v>370.84695856318461</v>
      </c>
      <c r="AG362" s="306">
        <f t="shared" ca="1" si="172"/>
        <v>34.951935348565392</v>
      </c>
      <c r="AH362" s="304">
        <f t="shared" ca="1" si="173"/>
        <v>44.45950258628514</v>
      </c>
    </row>
    <row r="363" spans="1:34" x14ac:dyDescent="0.25">
      <c r="A363" s="347">
        <f t="shared" ca="1" si="151"/>
        <v>0.01</v>
      </c>
      <c r="B363" s="304">
        <f t="shared" ca="1" si="152"/>
        <v>3.5899999999999674</v>
      </c>
      <c r="D363" s="306">
        <f t="shared" ca="1" si="153"/>
        <v>10.93050367820196</v>
      </c>
      <c r="E363" s="307">
        <f t="shared" ca="1" si="154"/>
        <v>33.162744645983281</v>
      </c>
      <c r="F363" s="304">
        <f t="shared" ca="1" si="155"/>
        <v>34.917668065234245</v>
      </c>
      <c r="G363" s="306">
        <f t="shared" ca="1" si="156"/>
        <v>48.078387919572229</v>
      </c>
      <c r="H363" s="307">
        <f t="shared" ca="1" si="157"/>
        <v>188.91974838868165</v>
      </c>
      <c r="I363" s="304">
        <f t="shared" ca="1" si="158"/>
        <v>194.94153666211739</v>
      </c>
      <c r="J363" s="306">
        <f t="shared" ca="1" si="159"/>
        <v>87.199493585941212</v>
      </c>
      <c r="K363" s="307">
        <f t="shared" ca="1" si="160"/>
        <v>372.73449790983915</v>
      </c>
      <c r="L363" s="304">
        <f t="shared" ca="1" si="145"/>
        <v>382.79858622223844</v>
      </c>
      <c r="M363" s="306">
        <f t="shared" ca="1" si="161"/>
        <v>1.321595266214721</v>
      </c>
      <c r="N363" s="304">
        <f t="shared" ca="1" si="162"/>
        <v>75.721830978571987</v>
      </c>
      <c r="P363" s="310">
        <f t="shared" ca="1" si="163"/>
        <v>11</v>
      </c>
      <c r="Q363" s="304">
        <f t="shared" ca="1" si="164"/>
        <v>663.55000000000427</v>
      </c>
      <c r="R363" s="306">
        <f t="shared" ca="1" si="165"/>
        <v>0.33239360170696963</v>
      </c>
      <c r="S363" s="307">
        <f t="shared" ca="1" si="166"/>
        <v>12.66282026160003</v>
      </c>
      <c r="T363" s="304">
        <f t="shared" ca="1" si="146"/>
        <v>124.2222667662963</v>
      </c>
      <c r="U363" s="311">
        <f t="shared" ca="1" si="147"/>
        <v>0</v>
      </c>
      <c r="V363" s="306">
        <f t="shared" ca="1" si="148"/>
        <v>1.1801754076030986</v>
      </c>
      <c r="W363" s="304">
        <f t="shared" ca="1" si="149"/>
        <v>102.41309088538921</v>
      </c>
      <c r="Y363" s="314" t="str">
        <f t="shared" ca="1" si="167"/>
        <v/>
      </c>
      <c r="Z363" s="315" t="str">
        <f t="shared" ca="1" si="168"/>
        <v/>
      </c>
      <c r="AA363" s="316" t="str">
        <f t="shared" ca="1" si="169"/>
        <v/>
      </c>
      <c r="AC363" s="310" t="e">
        <f t="shared" ca="1" si="170"/>
        <v>#N/A</v>
      </c>
      <c r="AD363" s="323" t="e">
        <f t="shared" ca="1" si="171"/>
        <v>#N/A</v>
      </c>
      <c r="AE363" s="324">
        <f t="shared" ca="1" si="150"/>
        <v>372.73449790983915</v>
      </c>
      <c r="AG363" s="306">
        <f t="shared" ca="1" si="172"/>
        <v>34.833827921742056</v>
      </c>
      <c r="AH363" s="304">
        <f t="shared" ca="1" si="173"/>
        <v>44.34109485644295</v>
      </c>
    </row>
    <row r="364" spans="1:34" x14ac:dyDescent="0.25">
      <c r="A364" s="347">
        <f t="shared" ca="1" si="151"/>
        <v>0.01</v>
      </c>
      <c r="B364" s="304">
        <f t="shared" ca="1" si="152"/>
        <v>3.5999999999999672</v>
      </c>
      <c r="D364" s="306">
        <f t="shared" ca="1" si="153"/>
        <v>10.906625197598744</v>
      </c>
      <c r="E364" s="307">
        <f t="shared" ca="1" si="154"/>
        <v>33.046613486019361</v>
      </c>
      <c r="F364" s="304">
        <f t="shared" ca="1" si="155"/>
        <v>34.799901380539175</v>
      </c>
      <c r="G364" s="306">
        <f t="shared" ca="1" si="156"/>
        <v>48.187454171548218</v>
      </c>
      <c r="H364" s="307">
        <f t="shared" ca="1" si="157"/>
        <v>189.25021452354184</v>
      </c>
      <c r="I364" s="304">
        <f t="shared" ca="1" si="158"/>
        <v>195.28869510737601</v>
      </c>
      <c r="J364" s="306">
        <f t="shared" ca="1" si="159"/>
        <v>87.680822796396811</v>
      </c>
      <c r="K364" s="307">
        <f t="shared" ca="1" si="160"/>
        <v>374.62534772440029</v>
      </c>
      <c r="L364" s="304">
        <f t="shared" ca="1" si="145"/>
        <v>384.74937016697112</v>
      </c>
      <c r="M364" s="306">
        <f t="shared" ca="1" si="161"/>
        <v>1.32147137588264</v>
      </c>
      <c r="N364" s="304">
        <f t="shared" ca="1" si="162"/>
        <v>75.714732585421274</v>
      </c>
      <c r="P364" s="310">
        <f t="shared" ca="1" si="163"/>
        <v>11</v>
      </c>
      <c r="Q364" s="304">
        <f t="shared" ca="1" si="164"/>
        <v>662.25000000000421</v>
      </c>
      <c r="R364" s="306">
        <f t="shared" ca="1" si="165"/>
        <v>0.33174238976782555</v>
      </c>
      <c r="S364" s="307">
        <f t="shared" ca="1" si="166"/>
        <v>12.659502837702352</v>
      </c>
      <c r="T364" s="304">
        <f t="shared" ca="1" si="146"/>
        <v>124.18972283786007</v>
      </c>
      <c r="U364" s="311">
        <f t="shared" ca="1" si="147"/>
        <v>0</v>
      </c>
      <c r="V364" s="306">
        <f t="shared" ca="1" si="148"/>
        <v>1.1799521973405374</v>
      </c>
      <c r="W364" s="304">
        <f t="shared" ca="1" si="149"/>
        <v>102.7587382709918</v>
      </c>
      <c r="Y364" s="314" t="str">
        <f t="shared" ca="1" si="167"/>
        <v/>
      </c>
      <c r="Z364" s="315" t="str">
        <f t="shared" ca="1" si="168"/>
        <v/>
      </c>
      <c r="AA364" s="316" t="str">
        <f t="shared" ca="1" si="169"/>
        <v/>
      </c>
      <c r="AC364" s="310" t="e">
        <f t="shared" ca="1" si="170"/>
        <v>#N/A</v>
      </c>
      <c r="AD364" s="323" t="e">
        <f t="shared" ca="1" si="171"/>
        <v>#N/A</v>
      </c>
      <c r="AE364" s="324">
        <f t="shared" ca="1" si="150"/>
        <v>374.62534772440029</v>
      </c>
      <c r="AG364" s="306">
        <f t="shared" ca="1" si="172"/>
        <v>34.715694653367564</v>
      </c>
      <c r="AH364" s="304">
        <f t="shared" ca="1" si="173"/>
        <v>44.222661528801638</v>
      </c>
    </row>
    <row r="365" spans="1:34" x14ac:dyDescent="0.25">
      <c r="A365" s="347">
        <f t="shared" ca="1" si="151"/>
        <v>0.01</v>
      </c>
      <c r="B365" s="304">
        <f t="shared" ca="1" si="152"/>
        <v>3.609999999999967</v>
      </c>
      <c r="D365" s="306">
        <f t="shared" ca="1" si="153"/>
        <v>10.882705085489677</v>
      </c>
      <c r="E365" s="307">
        <f t="shared" ca="1" si="154"/>
        <v>32.930466526687844</v>
      </c>
      <c r="F365" s="304">
        <f t="shared" ca="1" si="155"/>
        <v>34.682112041267779</v>
      </c>
      <c r="G365" s="306">
        <f t="shared" ca="1" si="156"/>
        <v>48.296281222403117</v>
      </c>
      <c r="H365" s="307">
        <f t="shared" ca="1" si="157"/>
        <v>189.57951918880872</v>
      </c>
      <c r="I365" s="304">
        <f t="shared" ca="1" si="158"/>
        <v>195.63467196735178</v>
      </c>
      <c r="J365" s="306">
        <f t="shared" ca="1" si="159"/>
        <v>88.163241473366568</v>
      </c>
      <c r="K365" s="307">
        <f t="shared" ca="1" si="160"/>
        <v>376.51949639296203</v>
      </c>
      <c r="L365" s="304">
        <f t="shared" ca="1" si="145"/>
        <v>386.70361817689383</v>
      </c>
      <c r="M365" s="306">
        <f t="shared" ca="1" si="161"/>
        <v>1.3213476444444849</v>
      </c>
      <c r="N365" s="304">
        <f t="shared" ca="1" si="162"/>
        <v>75.707643296221903</v>
      </c>
      <c r="P365" s="310">
        <f t="shared" ca="1" si="163"/>
        <v>11</v>
      </c>
      <c r="Q365" s="304">
        <f t="shared" ca="1" si="164"/>
        <v>660.95000000000425</v>
      </c>
      <c r="R365" s="306">
        <f t="shared" ca="1" si="165"/>
        <v>0.33109117782868147</v>
      </c>
      <c r="S365" s="307">
        <f t="shared" ca="1" si="166"/>
        <v>12.656191925924064</v>
      </c>
      <c r="T365" s="304">
        <f t="shared" ca="1" si="146"/>
        <v>124.15724279331508</v>
      </c>
      <c r="U365" s="311">
        <f t="shared" ca="1" si="147"/>
        <v>0</v>
      </c>
      <c r="V365" s="306">
        <f t="shared" ca="1" si="148"/>
        <v>1.1797286391905131</v>
      </c>
      <c r="W365" s="304">
        <f t="shared" ca="1" si="149"/>
        <v>103.10362104127877</v>
      </c>
      <c r="Y365" s="314" t="str">
        <f t="shared" ca="1" si="167"/>
        <v/>
      </c>
      <c r="Z365" s="315" t="str">
        <f t="shared" ca="1" si="168"/>
        <v/>
      </c>
      <c r="AA365" s="316" t="str">
        <f t="shared" ca="1" si="169"/>
        <v/>
      </c>
      <c r="AC365" s="310" t="e">
        <f t="shared" ca="1" si="170"/>
        <v>#N/A</v>
      </c>
      <c r="AD365" s="323" t="e">
        <f t="shared" ca="1" si="171"/>
        <v>#N/A</v>
      </c>
      <c r="AE365" s="324">
        <f t="shared" ca="1" si="150"/>
        <v>376.51949639296203</v>
      </c>
      <c r="AG365" s="306">
        <f t="shared" ca="1" si="172"/>
        <v>34.597536244433151</v>
      </c>
      <c r="AH365" s="304">
        <f t="shared" ca="1" si="173"/>
        <v>44.104203301915192</v>
      </c>
    </row>
    <row r="366" spans="1:34" x14ac:dyDescent="0.25">
      <c r="A366" s="347">
        <f t="shared" ca="1" si="151"/>
        <v>0.01</v>
      </c>
      <c r="B366" s="304">
        <f t="shared" ca="1" si="152"/>
        <v>3.6199999999999668</v>
      </c>
      <c r="D366" s="306">
        <f t="shared" ca="1" si="153"/>
        <v>10.858743614590749</v>
      </c>
      <c r="E366" s="307">
        <f t="shared" ca="1" si="154"/>
        <v>32.814304425611645</v>
      </c>
      <c r="F366" s="304">
        <f t="shared" ca="1" si="155"/>
        <v>34.564300771520479</v>
      </c>
      <c r="G366" s="306">
        <f t="shared" ca="1" si="156"/>
        <v>48.404868658549027</v>
      </c>
      <c r="H366" s="307">
        <f t="shared" ca="1" si="157"/>
        <v>189.90766223306483</v>
      </c>
      <c r="I366" s="304">
        <f t="shared" ca="1" si="158"/>
        <v>195.97946699764037</v>
      </c>
      <c r="J366" s="306">
        <f t="shared" ca="1" si="159"/>
        <v>88.646747222771324</v>
      </c>
      <c r="K366" s="307">
        <f t="shared" ca="1" si="160"/>
        <v>378.41693230007138</v>
      </c>
      <c r="L366" s="304">
        <f t="shared" ca="1" si="145"/>
        <v>388.66131843106632</v>
      </c>
      <c r="M366" s="306">
        <f t="shared" ca="1" si="161"/>
        <v>1.3212240706730232</v>
      </c>
      <c r="N366" s="304">
        <f t="shared" ca="1" si="162"/>
        <v>75.700563040658636</v>
      </c>
      <c r="P366" s="310">
        <f t="shared" ca="1" si="163"/>
        <v>11</v>
      </c>
      <c r="Q366" s="304">
        <f t="shared" ca="1" si="164"/>
        <v>659.6500000000043</v>
      </c>
      <c r="R366" s="306">
        <f t="shared" ca="1" si="165"/>
        <v>0.33043996588953739</v>
      </c>
      <c r="S366" s="307">
        <f t="shared" ca="1" si="166"/>
        <v>12.652887526265168</v>
      </c>
      <c r="T366" s="304">
        <f t="shared" ca="1" si="146"/>
        <v>124.12482663266131</v>
      </c>
      <c r="U366" s="311">
        <f t="shared" ca="1" si="147"/>
        <v>0</v>
      </c>
      <c r="V366" s="306">
        <f t="shared" ca="1" si="148"/>
        <v>1.1795047347291403</v>
      </c>
      <c r="W366" s="304">
        <f t="shared" ca="1" si="149"/>
        <v>103.44773248665003</v>
      </c>
      <c r="Y366" s="314" t="str">
        <f t="shared" ca="1" si="167"/>
        <v/>
      </c>
      <c r="Z366" s="315" t="str">
        <f t="shared" ca="1" si="168"/>
        <v/>
      </c>
      <c r="AA366" s="316" t="str">
        <f t="shared" ca="1" si="169"/>
        <v/>
      </c>
      <c r="AC366" s="310" t="e">
        <f t="shared" ca="1" si="170"/>
        <v>#N/A</v>
      </c>
      <c r="AD366" s="323" t="e">
        <f t="shared" ca="1" si="171"/>
        <v>#N/A</v>
      </c>
      <c r="AE366" s="324">
        <f t="shared" ca="1" si="150"/>
        <v>378.41693230007138</v>
      </c>
      <c r="AG366" s="306">
        <f t="shared" ca="1" si="172"/>
        <v>34.479353393863597</v>
      </c>
      <c r="AH366" s="304">
        <f t="shared" ca="1" si="173"/>
        <v>43.985720872285725</v>
      </c>
    </row>
    <row r="367" spans="1:34" x14ac:dyDescent="0.25">
      <c r="A367" s="347">
        <f t="shared" ca="1" si="151"/>
        <v>0.01</v>
      </c>
      <c r="B367" s="304">
        <f t="shared" ca="1" si="152"/>
        <v>3.6299999999999666</v>
      </c>
      <c r="D367" s="306">
        <f t="shared" ca="1" si="153"/>
        <v>10.834741056517439</v>
      </c>
      <c r="E367" s="307">
        <f t="shared" ca="1" si="154"/>
        <v>32.698127838508881</v>
      </c>
      <c r="F367" s="304">
        <f t="shared" ca="1" si="155"/>
        <v>34.446468293647378</v>
      </c>
      <c r="G367" s="306">
        <f t="shared" ca="1" si="156"/>
        <v>48.5132160691142</v>
      </c>
      <c r="H367" s="307">
        <f t="shared" ca="1" si="157"/>
        <v>190.23464351144992</v>
      </c>
      <c r="I367" s="304">
        <f t="shared" ca="1" si="158"/>
        <v>196.3230799608059</v>
      </c>
      <c r="J367" s="306">
        <f t="shared" ca="1" si="159"/>
        <v>89.131337646409634</v>
      </c>
      <c r="K367" s="307">
        <f t="shared" ca="1" si="160"/>
        <v>380.31764382879396</v>
      </c>
      <c r="L367" s="304">
        <f t="shared" ca="1" si="145"/>
        <v>390.62245910613444</v>
      </c>
      <c r="M367" s="306">
        <f t="shared" ca="1" si="161"/>
        <v>1.3211006533495859</v>
      </c>
      <c r="N367" s="304">
        <f t="shared" ca="1" si="162"/>
        <v>75.693491748906879</v>
      </c>
      <c r="P367" s="310">
        <f t="shared" ca="1" si="163"/>
        <v>11</v>
      </c>
      <c r="Q367" s="304">
        <f t="shared" ca="1" si="164"/>
        <v>658.35000000000434</v>
      </c>
      <c r="R367" s="306">
        <f t="shared" ca="1" si="165"/>
        <v>0.32978875395039337</v>
      </c>
      <c r="S367" s="307">
        <f t="shared" ca="1" si="166"/>
        <v>12.649589638725665</v>
      </c>
      <c r="T367" s="304">
        <f t="shared" ca="1" si="146"/>
        <v>124.09247435589877</v>
      </c>
      <c r="U367" s="311">
        <f t="shared" ca="1" si="147"/>
        <v>0</v>
      </c>
      <c r="V367" s="306">
        <f t="shared" ca="1" si="148"/>
        <v>1.179280485531947</v>
      </c>
      <c r="W367" s="304">
        <f t="shared" ca="1" si="149"/>
        <v>103.79106593378626</v>
      </c>
      <c r="Y367" s="314" t="str">
        <f t="shared" ca="1" si="167"/>
        <v/>
      </c>
      <c r="Z367" s="315" t="str">
        <f t="shared" ca="1" si="168"/>
        <v/>
      </c>
      <c r="AA367" s="316" t="str">
        <f t="shared" ca="1" si="169"/>
        <v/>
      </c>
      <c r="AC367" s="310" t="e">
        <f t="shared" ca="1" si="170"/>
        <v>#N/A</v>
      </c>
      <c r="AD367" s="323" t="e">
        <f t="shared" ca="1" si="171"/>
        <v>#N/A</v>
      </c>
      <c r="AE367" s="324">
        <f t="shared" ca="1" si="150"/>
        <v>380.31764382879396</v>
      </c>
      <c r="AG367" s="306">
        <f t="shared" ca="1" si="172"/>
        <v>34.361146798507789</v>
      </c>
      <c r="AH367" s="304">
        <f t="shared" ca="1" si="173"/>
        <v>43.867214934353861</v>
      </c>
    </row>
    <row r="368" spans="1:34" x14ac:dyDescent="0.25">
      <c r="A368" s="347">
        <f t="shared" ca="1" si="151"/>
        <v>0.01</v>
      </c>
      <c r="B368" s="304">
        <f t="shared" ca="1" si="152"/>
        <v>3.6399999999999664</v>
      </c>
      <c r="D368" s="306">
        <f t="shared" ca="1" si="153"/>
        <v>10.810697681788868</v>
      </c>
      <c r="E368" s="307">
        <f t="shared" ca="1" si="154"/>
        <v>32.581937419182395</v>
      </c>
      <c r="F368" s="304">
        <f t="shared" ca="1" si="155"/>
        <v>34.328615328244062</v>
      </c>
      <c r="G368" s="306">
        <f t="shared" ca="1" si="156"/>
        <v>48.621323045932087</v>
      </c>
      <c r="H368" s="307">
        <f t="shared" ca="1" si="157"/>
        <v>190.56046288564175</v>
      </c>
      <c r="I368" s="304">
        <f t="shared" ca="1" si="158"/>
        <v>196.66551062636003</v>
      </c>
      <c r="J368" s="306">
        <f t="shared" ca="1" si="159"/>
        <v>89.617010341984866</v>
      </c>
      <c r="K368" s="307">
        <f t="shared" ca="1" si="160"/>
        <v>382.22161936077941</v>
      </c>
      <c r="L368" s="304">
        <f t="shared" ca="1" si="145"/>
        <v>392.58702837639959</v>
      </c>
      <c r="M368" s="306">
        <f t="shared" ca="1" si="161"/>
        <v>1.3209773912639733</v>
      </c>
      <c r="N368" s="304">
        <f t="shared" ca="1" si="162"/>
        <v>75.686429351627297</v>
      </c>
      <c r="P368" s="310">
        <f t="shared" ca="1" si="163"/>
        <v>11</v>
      </c>
      <c r="Q368" s="304">
        <f t="shared" ca="1" si="164"/>
        <v>657.05000000000439</v>
      </c>
      <c r="R368" s="306">
        <f t="shared" ca="1" si="165"/>
        <v>0.32913754201124928</v>
      </c>
      <c r="S368" s="307">
        <f t="shared" ca="1" si="166"/>
        <v>12.646298263305553</v>
      </c>
      <c r="T368" s="304">
        <f t="shared" ca="1" si="146"/>
        <v>124.06018596302748</v>
      </c>
      <c r="U368" s="311">
        <f t="shared" ca="1" si="147"/>
        <v>0</v>
      </c>
      <c r="V368" s="306">
        <f t="shared" ca="1" si="148"/>
        <v>1.1790558931738633</v>
      </c>
      <c r="W368" s="304">
        <f t="shared" ca="1" si="149"/>
        <v>104.13361474569014</v>
      </c>
      <c r="Y368" s="314" t="str">
        <f t="shared" ca="1" si="167"/>
        <v/>
      </c>
      <c r="Z368" s="315" t="str">
        <f t="shared" ca="1" si="168"/>
        <v/>
      </c>
      <c r="AA368" s="316" t="str">
        <f t="shared" ca="1" si="169"/>
        <v/>
      </c>
      <c r="AC368" s="310" t="e">
        <f t="shared" ca="1" si="170"/>
        <v>#N/A</v>
      </c>
      <c r="AD368" s="323" t="e">
        <f t="shared" ca="1" si="171"/>
        <v>#N/A</v>
      </c>
      <c r="AE368" s="324">
        <f t="shared" ca="1" si="150"/>
        <v>382.22161936077941</v>
      </c>
      <c r="AG368" s="306">
        <f t="shared" ca="1" si="172"/>
        <v>34.242917153129163</v>
      </c>
      <c r="AH368" s="304">
        <f t="shared" ca="1" si="173"/>
        <v>43.748686180489031</v>
      </c>
    </row>
    <row r="369" spans="1:34" x14ac:dyDescent="0.25">
      <c r="A369" s="347">
        <f t="shared" ca="1" si="151"/>
        <v>0.01</v>
      </c>
      <c r="B369" s="304">
        <f t="shared" ca="1" si="152"/>
        <v>3.6499999999999662</v>
      </c>
      <c r="D369" s="306">
        <f t="shared" ca="1" si="153"/>
        <v>10.786613759831969</v>
      </c>
      <c r="E369" s="307">
        <f t="shared" ca="1" si="154"/>
        <v>32.465733819509587</v>
      </c>
      <c r="F369" s="304">
        <f t="shared" ca="1" si="155"/>
        <v>34.210742594147895</v>
      </c>
      <c r="G369" s="306">
        <f t="shared" ca="1" si="156"/>
        <v>48.729189183530409</v>
      </c>
      <c r="H369" s="307">
        <f t="shared" ca="1" si="157"/>
        <v>190.88512022383685</v>
      </c>
      <c r="I369" s="304">
        <f t="shared" ca="1" si="158"/>
        <v>197.00675877074102</v>
      </c>
      <c r="J369" s="306">
        <f t="shared" ca="1" si="159"/>
        <v>90.103762903132179</v>
      </c>
      <c r="K369" s="307">
        <f t="shared" ca="1" si="160"/>
        <v>384.12884727632678</v>
      </c>
      <c r="L369" s="304">
        <f t="shared" ca="1" si="145"/>
        <v>394.55501441388805</v>
      </c>
      <c r="M369" s="306">
        <f t="shared" ca="1" si="161"/>
        <v>1.320854283214361</v>
      </c>
      <c r="N369" s="304">
        <f t="shared" ca="1" si="162"/>
        <v>75.679375779960424</v>
      </c>
      <c r="P369" s="310">
        <f t="shared" ca="1" si="163"/>
        <v>11</v>
      </c>
      <c r="Q369" s="304">
        <f t="shared" ca="1" si="164"/>
        <v>655.75000000000443</v>
      </c>
      <c r="R369" s="306">
        <f t="shared" ca="1" si="165"/>
        <v>0.3284863300721052</v>
      </c>
      <c r="S369" s="307">
        <f t="shared" ca="1" si="166"/>
        <v>12.643013400004833</v>
      </c>
      <c r="T369" s="304">
        <f t="shared" ca="1" si="146"/>
        <v>124.02796145404741</v>
      </c>
      <c r="U369" s="311">
        <f t="shared" ca="1" si="147"/>
        <v>0</v>
      </c>
      <c r="V369" s="306">
        <f t="shared" ca="1" si="148"/>
        <v>1.178830959229207</v>
      </c>
      <c r="W369" s="304">
        <f t="shared" ca="1" si="149"/>
        <v>104.47537232172547</v>
      </c>
      <c r="Y369" s="314" t="str">
        <f t="shared" ca="1" si="167"/>
        <v/>
      </c>
      <c r="Z369" s="315" t="str">
        <f t="shared" ca="1" si="168"/>
        <v/>
      </c>
      <c r="AA369" s="316" t="str">
        <f t="shared" ca="1" si="169"/>
        <v/>
      </c>
      <c r="AC369" s="310" t="e">
        <f t="shared" ca="1" si="170"/>
        <v>#N/A</v>
      </c>
      <c r="AD369" s="323" t="e">
        <f t="shared" ca="1" si="171"/>
        <v>#N/A</v>
      </c>
      <c r="AE369" s="324">
        <f t="shared" ca="1" si="150"/>
        <v>384.12884727632678</v>
      </c>
      <c r="AG369" s="306">
        <f t="shared" ca="1" si="172"/>
        <v>34.124665150396432</v>
      </c>
      <c r="AH369" s="304">
        <f t="shared" ca="1" si="173"/>
        <v>43.630135300980022</v>
      </c>
    </row>
    <row r="370" spans="1:34" x14ac:dyDescent="0.25">
      <c r="A370" s="347">
        <f t="shared" ca="1" si="151"/>
        <v>0.01</v>
      </c>
      <c r="B370" s="304">
        <f t="shared" ca="1" si="152"/>
        <v>3.6599999999999659</v>
      </c>
      <c r="D370" s="306">
        <f t="shared" ca="1" si="153"/>
        <v>10.772993915483189</v>
      </c>
      <c r="E370" s="307">
        <f t="shared" ca="1" si="154"/>
        <v>32.39066603165849</v>
      </c>
      <c r="F370" s="304">
        <f t="shared" ca="1" si="155"/>
        <v>34.135211203059413</v>
      </c>
      <c r="G370" s="306">
        <f t="shared" ca="1" si="156"/>
        <v>48.836919122685238</v>
      </c>
      <c r="H370" s="307">
        <f t="shared" ca="1" si="157"/>
        <v>191.20902688415345</v>
      </c>
      <c r="I370" s="304">
        <f t="shared" ca="1" si="158"/>
        <v>197.34724885688328</v>
      </c>
      <c r="J370" s="306">
        <f t="shared" ca="1" si="159"/>
        <v>90.59159344466326</v>
      </c>
      <c r="K370" s="307">
        <f t="shared" ca="1" si="160"/>
        <v>386.03931801186673</v>
      </c>
      <c r="L370" s="304">
        <f t="shared" ca="1" si="145"/>
        <v>396.52640751141695</v>
      </c>
      <c r="M370" s="306">
        <f t="shared" ca="1" si="161"/>
        <v>1.3207313282718003</v>
      </c>
      <c r="N370" s="304">
        <f t="shared" ca="1" si="162"/>
        <v>75.672330980681423</v>
      </c>
      <c r="P370" s="310">
        <f t="shared" ca="1" si="163"/>
        <v>12</v>
      </c>
      <c r="Q370" s="304">
        <f t="shared" ca="1" si="164"/>
        <v>654.98666666666747</v>
      </c>
      <c r="R370" s="306">
        <f t="shared" ca="1" si="165"/>
        <v>0.32810395177963164</v>
      </c>
      <c r="S370" s="307">
        <f t="shared" ca="1" si="166"/>
        <v>12.639732360487036</v>
      </c>
      <c r="T370" s="304">
        <f t="shared" ca="1" si="146"/>
        <v>123.99577445637783</v>
      </c>
      <c r="U370" s="311">
        <f t="shared" ca="1" si="147"/>
        <v>0</v>
      </c>
      <c r="V370" s="306">
        <f t="shared" ca="1" si="148"/>
        <v>1.1786056850290962</v>
      </c>
      <c r="W370" s="304">
        <f t="shared" ca="1" si="149"/>
        <v>104.81678319461564</v>
      </c>
      <c r="Y370" s="314" t="str">
        <f t="shared" ca="1" si="167"/>
        <v/>
      </c>
      <c r="Z370" s="315" t="str">
        <f t="shared" ca="1" si="168"/>
        <v/>
      </c>
      <c r="AA370" s="316" t="str">
        <f t="shared" ca="1" si="169"/>
        <v/>
      </c>
      <c r="AC370" s="310" t="e">
        <f t="shared" ca="1" si="170"/>
        <v>#N/A</v>
      </c>
      <c r="AD370" s="323" t="e">
        <f t="shared" ca="1" si="171"/>
        <v>#N/A</v>
      </c>
      <c r="AE370" s="324">
        <f t="shared" ca="1" si="150"/>
        <v>386.03931801186673</v>
      </c>
      <c r="AG370" s="306">
        <f t="shared" ca="1" si="172"/>
        <v>34.048859440248386</v>
      </c>
      <c r="AH370" s="304">
        <f t="shared" ca="1" si="173"/>
        <v>43.554030943399631</v>
      </c>
    </row>
    <row r="371" spans="1:34" x14ac:dyDescent="0.25">
      <c r="A371" s="347">
        <f t="shared" ca="1" si="151"/>
        <v>0.01</v>
      </c>
      <c r="B371" s="304">
        <f t="shared" ca="1" si="152"/>
        <v>3.6699999999999657</v>
      </c>
      <c r="D371" s="306">
        <f t="shared" ca="1" si="153"/>
        <v>10.769855197946557</v>
      </c>
      <c r="E371" s="307">
        <f t="shared" ca="1" si="154"/>
        <v>32.356737154515535</v>
      </c>
      <c r="F371" s="304">
        <f t="shared" ca="1" si="155"/>
        <v>34.102026629969401</v>
      </c>
      <c r="G371" s="306">
        <f t="shared" ca="1" si="156"/>
        <v>48.944617674664705</v>
      </c>
      <c r="H371" s="307">
        <f t="shared" ca="1" si="157"/>
        <v>191.5325942556986</v>
      </c>
      <c r="I371" s="304">
        <f t="shared" ca="1" si="158"/>
        <v>197.68740541986273</v>
      </c>
      <c r="J371" s="306">
        <f t="shared" ca="1" si="159"/>
        <v>91.080501128650013</v>
      </c>
      <c r="K371" s="307">
        <f t="shared" ca="1" si="160"/>
        <v>387.95302611756597</v>
      </c>
      <c r="L371" s="304">
        <f t="shared" ca="1" si="145"/>
        <v>398.50120220599439</v>
      </c>
      <c r="M371" s="306">
        <f t="shared" ca="1" si="161"/>
        <v>1.3206085257771714</v>
      </c>
      <c r="N371" s="304">
        <f t="shared" ca="1" si="162"/>
        <v>75.665294916025502</v>
      </c>
      <c r="P371" s="310">
        <f t="shared" ca="1" si="163"/>
        <v>12</v>
      </c>
      <c r="Q371" s="304">
        <f t="shared" ca="1" si="164"/>
        <v>654.76000000000079</v>
      </c>
      <c r="R371" s="306">
        <f t="shared" ca="1" si="165"/>
        <v>0.32799040713383215</v>
      </c>
      <c r="S371" s="307">
        <f t="shared" ca="1" si="166"/>
        <v>12.636452456415698</v>
      </c>
      <c r="T371" s="304">
        <f t="shared" ca="1" si="146"/>
        <v>123.96359859743801</v>
      </c>
      <c r="U371" s="311">
        <f t="shared" ca="1" si="147"/>
        <v>0</v>
      </c>
      <c r="V371" s="306">
        <f t="shared" ca="1" si="148"/>
        <v>1.178380071419115</v>
      </c>
      <c r="W371" s="304">
        <f t="shared" ca="1" si="149"/>
        <v>105.15829471781466</v>
      </c>
      <c r="Y371" s="314" t="str">
        <f t="shared" ca="1" si="167"/>
        <v/>
      </c>
      <c r="Z371" s="315" t="str">
        <f t="shared" ca="1" si="168"/>
        <v/>
      </c>
      <c r="AA371" s="316" t="str">
        <f t="shared" ca="1" si="169"/>
        <v/>
      </c>
      <c r="AC371" s="310" t="e">
        <f t="shared" ca="1" si="170"/>
        <v>#N/A</v>
      </c>
      <c r="AD371" s="323" t="e">
        <f t="shared" ca="1" si="171"/>
        <v>#N/A</v>
      </c>
      <c r="AE371" s="324">
        <f t="shared" ca="1" si="150"/>
        <v>387.95302611756597</v>
      </c>
      <c r="AG371" s="306">
        <f t="shared" ca="1" si="172"/>
        <v>34.015507237167434</v>
      </c>
      <c r="AH371" s="304">
        <f t="shared" ca="1" si="173"/>
        <v>43.520380320520381</v>
      </c>
    </row>
    <row r="372" spans="1:34" x14ac:dyDescent="0.25">
      <c r="A372" s="347">
        <f t="shared" ca="1" si="151"/>
        <v>0.01</v>
      </c>
      <c r="B372" s="304">
        <f t="shared" ca="1" si="152"/>
        <v>3.6799999999999655</v>
      </c>
      <c r="D372" s="306">
        <f t="shared" ca="1" si="153"/>
        <v>10.76669461053943</v>
      </c>
      <c r="E372" s="307">
        <f t="shared" ca="1" si="154"/>
        <v>32.322782893979209</v>
      </c>
      <c r="F372" s="304">
        <f t="shared" ca="1" si="155"/>
        <v>34.068812818293708</v>
      </c>
      <c r="G372" s="306">
        <f t="shared" ca="1" si="156"/>
        <v>49.052284620770102</v>
      </c>
      <c r="H372" s="307">
        <f t="shared" ca="1" si="157"/>
        <v>191.85582208463839</v>
      </c>
      <c r="I372" s="304">
        <f t="shared" ca="1" si="158"/>
        <v>198.02722816393069</v>
      </c>
      <c r="J372" s="306">
        <f t="shared" ca="1" si="159"/>
        <v>91.570485640127188</v>
      </c>
      <c r="K372" s="307">
        <f t="shared" ca="1" si="160"/>
        <v>389.86996819926765</v>
      </c>
      <c r="L372" s="304">
        <f t="shared" ca="1" si="145"/>
        <v>400.47939515543953</v>
      </c>
      <c r="M372" s="306">
        <f t="shared" ca="1" si="161"/>
        <v>1.3204858750750152</v>
      </c>
      <c r="N372" s="304">
        <f t="shared" ca="1" si="162"/>
        <v>75.658267548437635</v>
      </c>
      <c r="P372" s="310">
        <f t="shared" ca="1" si="163"/>
        <v>12</v>
      </c>
      <c r="Q372" s="304">
        <f t="shared" ca="1" si="164"/>
        <v>654.5333333333341</v>
      </c>
      <c r="R372" s="306">
        <f t="shared" ca="1" si="165"/>
        <v>0.32787686248803266</v>
      </c>
      <c r="S372" s="307">
        <f t="shared" ca="1" si="166"/>
        <v>12.633173687790817</v>
      </c>
      <c r="T372" s="304">
        <f t="shared" ca="1" si="146"/>
        <v>123.93143387722793</v>
      </c>
      <c r="U372" s="311">
        <f t="shared" ca="1" si="147"/>
        <v>0</v>
      </c>
      <c r="V372" s="306">
        <f t="shared" ca="1" si="148"/>
        <v>1.178154119002331</v>
      </c>
      <c r="W372" s="304">
        <f t="shared" ca="1" si="149"/>
        <v>105.4999043319154</v>
      </c>
      <c r="Y372" s="314" t="str">
        <f t="shared" ca="1" si="167"/>
        <v/>
      </c>
      <c r="Z372" s="315" t="str">
        <f t="shared" ca="1" si="168"/>
        <v/>
      </c>
      <c r="AA372" s="316" t="str">
        <f t="shared" ca="1" si="169"/>
        <v/>
      </c>
      <c r="AC372" s="310" t="e">
        <f t="shared" ca="1" si="170"/>
        <v>#N/A</v>
      </c>
      <c r="AD372" s="323" t="e">
        <f t="shared" ca="1" si="171"/>
        <v>#N/A</v>
      </c>
      <c r="AE372" s="324">
        <f t="shared" ca="1" si="150"/>
        <v>389.86996819926765</v>
      </c>
      <c r="AG372" s="306">
        <f t="shared" ca="1" si="172"/>
        <v>33.982125458687932</v>
      </c>
      <c r="AH372" s="304">
        <f t="shared" ca="1" si="173"/>
        <v>43.48670034881706</v>
      </c>
    </row>
    <row r="373" spans="1:34" x14ac:dyDescent="0.25">
      <c r="A373" s="347">
        <f t="shared" ca="1" si="151"/>
        <v>0.01</v>
      </c>
      <c r="B373" s="304">
        <f t="shared" ca="1" si="152"/>
        <v>3.6899999999999653</v>
      </c>
      <c r="D373" s="306">
        <f t="shared" ca="1" si="153"/>
        <v>10.763512232992653</v>
      </c>
      <c r="E373" s="307">
        <f t="shared" ca="1" si="154"/>
        <v>32.288803428708619</v>
      </c>
      <c r="F373" s="304">
        <f t="shared" ca="1" si="155"/>
        <v>34.035569959199563</v>
      </c>
      <c r="G373" s="306">
        <f t="shared" ca="1" si="156"/>
        <v>49.159919743100026</v>
      </c>
      <c r="H373" s="307">
        <f t="shared" ca="1" si="157"/>
        <v>192.17871011892547</v>
      </c>
      <c r="I373" s="304">
        <f t="shared" ca="1" si="158"/>
        <v>198.36671679523766</v>
      </c>
      <c r="J373" s="306">
        <f t="shared" ca="1" si="159"/>
        <v>92.061546661946537</v>
      </c>
      <c r="K373" s="307">
        <f t="shared" ca="1" si="160"/>
        <v>391.79014086028548</v>
      </c>
      <c r="L373" s="304">
        <f t="shared" ca="1" si="145"/>
        <v>402.46098301464218</v>
      </c>
      <c r="M373" s="306">
        <f t="shared" ca="1" si="161"/>
        <v>1.3203633755135065</v>
      </c>
      <c r="N373" s="304">
        <f t="shared" ca="1" si="162"/>
        <v>75.651248840570986</v>
      </c>
      <c r="P373" s="310">
        <f t="shared" ca="1" si="163"/>
        <v>12</v>
      </c>
      <c r="Q373" s="304">
        <f t="shared" ca="1" si="164"/>
        <v>654.30666666666752</v>
      </c>
      <c r="R373" s="306">
        <f t="shared" ca="1" si="165"/>
        <v>0.32776331784223323</v>
      </c>
      <c r="S373" s="307">
        <f t="shared" ca="1" si="166"/>
        <v>12.629896054612395</v>
      </c>
      <c r="T373" s="304">
        <f t="shared" ca="1" si="146"/>
        <v>123.8992802957476</v>
      </c>
      <c r="U373" s="311">
        <f t="shared" ca="1" si="147"/>
        <v>0</v>
      </c>
      <c r="V373" s="306">
        <f t="shared" ca="1" si="148"/>
        <v>1.1779278283820549</v>
      </c>
      <c r="W373" s="304">
        <f t="shared" ca="1" si="149"/>
        <v>105.84160948111925</v>
      </c>
      <c r="Y373" s="314" t="str">
        <f t="shared" ca="1" si="167"/>
        <v/>
      </c>
      <c r="Z373" s="315" t="str">
        <f t="shared" ca="1" si="168"/>
        <v/>
      </c>
      <c r="AA373" s="316" t="str">
        <f t="shared" ca="1" si="169"/>
        <v/>
      </c>
      <c r="AC373" s="310" t="e">
        <f t="shared" ca="1" si="170"/>
        <v>#N/A</v>
      </c>
      <c r="AD373" s="323" t="e">
        <f t="shared" ca="1" si="171"/>
        <v>#N/A</v>
      </c>
      <c r="AE373" s="324">
        <f t="shared" ca="1" si="150"/>
        <v>391.79014086028548</v>
      </c>
      <c r="AG373" s="306">
        <f t="shared" ca="1" si="172"/>
        <v>33.948714294737513</v>
      </c>
      <c r="AH373" s="304">
        <f t="shared" ca="1" si="173"/>
        <v>43.452991217162847</v>
      </c>
    </row>
    <row r="374" spans="1:34" x14ac:dyDescent="0.25">
      <c r="A374" s="347">
        <f t="shared" ca="1" si="151"/>
        <v>0.01</v>
      </c>
      <c r="B374" s="304">
        <f t="shared" ca="1" si="152"/>
        <v>3.6999999999999651</v>
      </c>
      <c r="D374" s="306">
        <f t="shared" ca="1" si="153"/>
        <v>10.760308144891267</v>
      </c>
      <c r="E374" s="307">
        <f t="shared" ca="1" si="154"/>
        <v>32.254798937301317</v>
      </c>
      <c r="F374" s="304">
        <f t="shared" ca="1" si="155"/>
        <v>34.002298243776814</v>
      </c>
      <c r="G374" s="306">
        <f t="shared" ca="1" si="156"/>
        <v>49.267522824548941</v>
      </c>
      <c r="H374" s="307">
        <f t="shared" ca="1" si="157"/>
        <v>192.50125810829849</v>
      </c>
      <c r="I374" s="304">
        <f t="shared" ca="1" si="158"/>
        <v>198.70587102183268</v>
      </c>
      <c r="J374" s="306">
        <f t="shared" ca="1" si="159"/>
        <v>92.553683874784781</v>
      </c>
      <c r="K374" s="307">
        <f t="shared" ca="1" si="160"/>
        <v>393.71354070142161</v>
      </c>
      <c r="L374" s="304">
        <f t="shared" ca="1" si="145"/>
        <v>404.44596243558118</v>
      </c>
      <c r="M374" s="306">
        <f t="shared" ca="1" si="161"/>
        <v>1.3202410264444255</v>
      </c>
      <c r="N374" s="304">
        <f t="shared" ca="1" si="162"/>
        <v>75.644238755285301</v>
      </c>
      <c r="P374" s="310">
        <f t="shared" ca="1" si="163"/>
        <v>12</v>
      </c>
      <c r="Q374" s="304">
        <f t="shared" ca="1" si="164"/>
        <v>654.08000000000084</v>
      </c>
      <c r="R374" s="306">
        <f t="shared" ca="1" si="165"/>
        <v>0.32764977319643374</v>
      </c>
      <c r="S374" s="307">
        <f t="shared" ca="1" si="166"/>
        <v>12.626619556880431</v>
      </c>
      <c r="T374" s="304">
        <f t="shared" ca="1" si="146"/>
        <v>123.86713785299703</v>
      </c>
      <c r="U374" s="311">
        <f t="shared" ca="1" si="147"/>
        <v>0</v>
      </c>
      <c r="V374" s="306">
        <f t="shared" ca="1" si="148"/>
        <v>1.1777012001618365</v>
      </c>
      <c r="W374" s="304">
        <f t="shared" ca="1" si="149"/>
        <v>106.18340761326409</v>
      </c>
      <c r="Y374" s="314" t="str">
        <f t="shared" ca="1" si="167"/>
        <v/>
      </c>
      <c r="Z374" s="315" t="str">
        <f t="shared" ca="1" si="168"/>
        <v/>
      </c>
      <c r="AA374" s="316" t="str">
        <f t="shared" ca="1" si="169"/>
        <v/>
      </c>
      <c r="AC374" s="310" t="e">
        <f t="shared" ca="1" si="170"/>
        <v>#N/A</v>
      </c>
      <c r="AD374" s="323" t="e">
        <f t="shared" ca="1" si="171"/>
        <v>#N/A</v>
      </c>
      <c r="AE374" s="324">
        <f t="shared" ca="1" si="150"/>
        <v>393.71354070142161</v>
      </c>
      <c r="AG374" s="306">
        <f t="shared" ca="1" si="172"/>
        <v>33.91527393516477</v>
      </c>
      <c r="AH374" s="304">
        <f t="shared" ca="1" si="173"/>
        <v>43.419253114356991</v>
      </c>
    </row>
    <row r="375" spans="1:34" x14ac:dyDescent="0.25">
      <c r="A375" s="347">
        <f t="shared" ca="1" si="151"/>
        <v>0.01</v>
      </c>
      <c r="B375" s="304">
        <f t="shared" ca="1" si="152"/>
        <v>3.7099999999999649</v>
      </c>
      <c r="D375" s="306">
        <f t="shared" ca="1" si="153"/>
        <v>10.757082425675208</v>
      </c>
      <c r="E375" s="307">
        <f t="shared" ca="1" si="154"/>
        <v>32.220769598290694</v>
      </c>
      <c r="F375" s="304">
        <f t="shared" ca="1" si="155"/>
        <v>33.968997863035412</v>
      </c>
      <c r="G375" s="306">
        <f t="shared" ca="1" si="156"/>
        <v>49.375093648805695</v>
      </c>
      <c r="H375" s="307">
        <f t="shared" ca="1" si="157"/>
        <v>192.8234658042814</v>
      </c>
      <c r="I375" s="304">
        <f t="shared" ca="1" si="158"/>
        <v>199.04469055366238</v>
      </c>
      <c r="J375" s="306">
        <f t="shared" ca="1" si="159"/>
        <v>93.04689695715156</v>
      </c>
      <c r="K375" s="307">
        <f t="shared" ca="1" si="160"/>
        <v>395.64016432098452</v>
      </c>
      <c r="L375" s="304">
        <f t="shared" ca="1" si="145"/>
        <v>406.43433006734358</v>
      </c>
      <c r="M375" s="306">
        <f t="shared" ca="1" si="161"/>
        <v>1.3201188272231315</v>
      </c>
      <c r="N375" s="304">
        <f t="shared" ca="1" si="162"/>
        <v>75.63723725564536</v>
      </c>
      <c r="P375" s="310">
        <f t="shared" ca="1" si="163"/>
        <v>12</v>
      </c>
      <c r="Q375" s="304">
        <f t="shared" ca="1" si="164"/>
        <v>653.85333333333415</v>
      </c>
      <c r="R375" s="306">
        <f t="shared" ca="1" si="165"/>
        <v>0.32753622855063425</v>
      </c>
      <c r="S375" s="307">
        <f t="shared" ca="1" si="166"/>
        <v>12.623344194594925</v>
      </c>
      <c r="T375" s="304">
        <f t="shared" ca="1" si="146"/>
        <v>123.83500654897621</v>
      </c>
      <c r="U375" s="311">
        <f t="shared" ca="1" si="147"/>
        <v>0</v>
      </c>
      <c r="V375" s="306">
        <f t="shared" ca="1" si="148"/>
        <v>1.1774742349454626</v>
      </c>
      <c r="W375" s="304">
        <f t="shared" ca="1" si="149"/>
        <v>106.52529617985192</v>
      </c>
      <c r="Y375" s="314" t="str">
        <f t="shared" ca="1" si="167"/>
        <v/>
      </c>
      <c r="Z375" s="315" t="str">
        <f t="shared" ca="1" si="168"/>
        <v/>
      </c>
      <c r="AA375" s="316" t="str">
        <f t="shared" ca="1" si="169"/>
        <v/>
      </c>
      <c r="AC375" s="310" t="e">
        <f t="shared" ca="1" si="170"/>
        <v>#N/A</v>
      </c>
      <c r="AD375" s="323" t="e">
        <f t="shared" ca="1" si="171"/>
        <v>#N/A</v>
      </c>
      <c r="AE375" s="324">
        <f t="shared" ca="1" si="150"/>
        <v>395.64016432098452</v>
      </c>
      <c r="AG375" s="306">
        <f t="shared" ca="1" si="172"/>
        <v>33.881804569736907</v>
      </c>
      <c r="AH375" s="304">
        <f t="shared" ca="1" si="173"/>
        <v>43.385486229122385</v>
      </c>
    </row>
    <row r="376" spans="1:34" x14ac:dyDescent="0.25">
      <c r="A376" s="347">
        <f t="shared" ca="1" si="151"/>
        <v>0.01</v>
      </c>
      <c r="B376" s="304">
        <f t="shared" ca="1" si="152"/>
        <v>3.7199999999999647</v>
      </c>
      <c r="D376" s="306">
        <f t="shared" ca="1" si="153"/>
        <v>10.753835154639933</v>
      </c>
      <c r="E376" s="307">
        <f t="shared" ca="1" si="154"/>
        <v>32.186715590143471</v>
      </c>
      <c r="F376" s="304">
        <f t="shared" ca="1" si="155"/>
        <v>33.935669007903094</v>
      </c>
      <c r="G376" s="306">
        <f t="shared" ca="1" si="156"/>
        <v>49.482632000352098</v>
      </c>
      <c r="H376" s="307">
        <f t="shared" ca="1" si="157"/>
        <v>193.14533296018283</v>
      </c>
      <c r="I376" s="304">
        <f t="shared" ca="1" si="158"/>
        <v>199.38317510257016</v>
      </c>
      <c r="J376" s="306">
        <f t="shared" ca="1" si="159"/>
        <v>93.541185585397344</v>
      </c>
      <c r="K376" s="307">
        <f t="shared" ca="1" si="160"/>
        <v>397.57000831480684</v>
      </c>
      <c r="L376" s="304">
        <f t="shared" ca="1" si="145"/>
        <v>408.426082556143</v>
      </c>
      <c r="M376" s="306">
        <f t="shared" ca="1" si="161"/>
        <v>1.3199967772085348</v>
      </c>
      <c r="N376" s="304">
        <f t="shared" ca="1" si="162"/>
        <v>75.630244304919458</v>
      </c>
      <c r="P376" s="310">
        <f t="shared" ca="1" si="163"/>
        <v>12</v>
      </c>
      <c r="Q376" s="304">
        <f t="shared" ca="1" si="164"/>
        <v>653.62666666666746</v>
      </c>
      <c r="R376" s="306">
        <f t="shared" ca="1" si="165"/>
        <v>0.32742268390483475</v>
      </c>
      <c r="S376" s="307">
        <f t="shared" ca="1" si="166"/>
        <v>12.620069967755876</v>
      </c>
      <c r="T376" s="304">
        <f t="shared" ca="1" si="146"/>
        <v>123.80288638368515</v>
      </c>
      <c r="U376" s="311">
        <f t="shared" ca="1" si="147"/>
        <v>0</v>
      </c>
      <c r="V376" s="306">
        <f t="shared" ca="1" si="148"/>
        <v>1.1772469333369504</v>
      </c>
      <c r="W376" s="304">
        <f t="shared" ca="1" si="149"/>
        <v>106.86727263607601</v>
      </c>
      <c r="Y376" s="314" t="str">
        <f t="shared" ca="1" si="167"/>
        <v/>
      </c>
      <c r="Z376" s="315" t="str">
        <f t="shared" ca="1" si="168"/>
        <v/>
      </c>
      <c r="AA376" s="316" t="str">
        <f t="shared" ca="1" si="169"/>
        <v/>
      </c>
      <c r="AC376" s="310" t="e">
        <f t="shared" ca="1" si="170"/>
        <v>#N/A</v>
      </c>
      <c r="AD376" s="323" t="e">
        <f t="shared" ca="1" si="171"/>
        <v>#N/A</v>
      </c>
      <c r="AE376" s="324">
        <f t="shared" ca="1" si="150"/>
        <v>397.57000831480684</v>
      </c>
      <c r="AG376" s="306">
        <f t="shared" ca="1" si="172"/>
        <v>33.848306388137217</v>
      </c>
      <c r="AH376" s="304">
        <f t="shared" ca="1" si="173"/>
        <v>43.351690750103039</v>
      </c>
    </row>
    <row r="377" spans="1:34" x14ac:dyDescent="0.25">
      <c r="A377" s="347">
        <f t="shared" ca="1" si="151"/>
        <v>0.01</v>
      </c>
      <c r="B377" s="304">
        <f t="shared" ca="1" si="152"/>
        <v>3.7299999999999645</v>
      </c>
      <c r="D377" s="306">
        <f t="shared" ca="1" si="153"/>
        <v>10.750566410937099</v>
      </c>
      <c r="E377" s="307">
        <f t="shared" ca="1" si="154"/>
        <v>32.152637091257169</v>
      </c>
      <c r="F377" s="304">
        <f t="shared" ca="1" si="155"/>
        <v>33.902311869222949</v>
      </c>
      <c r="G377" s="306">
        <f t="shared" ca="1" si="156"/>
        <v>49.590137664461466</v>
      </c>
      <c r="H377" s="307">
        <f t="shared" ca="1" si="157"/>
        <v>193.46685933109541</v>
      </c>
      <c r="I377" s="304">
        <f t="shared" ca="1" si="158"/>
        <v>199.72132438229551</v>
      </c>
      <c r="J377" s="306">
        <f t="shared" ca="1" si="159"/>
        <v>94.036549433721405</v>
      </c>
      <c r="K377" s="307">
        <f t="shared" ca="1" si="160"/>
        <v>399.5030692762632</v>
      </c>
      <c r="L377" s="304">
        <f t="shared" ca="1" si="145"/>
        <v>410.42121654533827</v>
      </c>
      <c r="M377" s="306">
        <f t="shared" ca="1" si="161"/>
        <v>1.3198748757630707</v>
      </c>
      <c r="N377" s="304">
        <f t="shared" ca="1" si="162"/>
        <v>75.623259866577826</v>
      </c>
      <c r="P377" s="310">
        <f t="shared" ca="1" si="163"/>
        <v>12</v>
      </c>
      <c r="Q377" s="304">
        <f t="shared" ca="1" si="164"/>
        <v>653.40000000000089</v>
      </c>
      <c r="R377" s="306">
        <f t="shared" ca="1" si="165"/>
        <v>0.32730913925903532</v>
      </c>
      <c r="S377" s="307">
        <f t="shared" ca="1" si="166"/>
        <v>12.616796876363287</v>
      </c>
      <c r="T377" s="304">
        <f t="shared" ca="1" si="146"/>
        <v>123.77077735712385</v>
      </c>
      <c r="U377" s="311">
        <f t="shared" ca="1" si="147"/>
        <v>0</v>
      </c>
      <c r="V377" s="306">
        <f t="shared" ca="1" si="148"/>
        <v>1.1770192959405472</v>
      </c>
      <c r="W377" s="304">
        <f t="shared" ca="1" si="149"/>
        <v>107.20933444084879</v>
      </c>
      <c r="Y377" s="314" t="str">
        <f t="shared" ca="1" si="167"/>
        <v/>
      </c>
      <c r="Z377" s="315" t="str">
        <f t="shared" ca="1" si="168"/>
        <v/>
      </c>
      <c r="AA377" s="316" t="str">
        <f t="shared" ca="1" si="169"/>
        <v/>
      </c>
      <c r="AC377" s="310" t="e">
        <f t="shared" ca="1" si="170"/>
        <v>#N/A</v>
      </c>
      <c r="AD377" s="323" t="e">
        <f t="shared" ca="1" si="171"/>
        <v>#N/A</v>
      </c>
      <c r="AE377" s="324">
        <f t="shared" ca="1" si="150"/>
        <v>399.5030692762632</v>
      </c>
      <c r="AG377" s="306">
        <f t="shared" ca="1" si="172"/>
        <v>33.814779579962803</v>
      </c>
      <c r="AH377" s="304">
        <f t="shared" ca="1" si="173"/>
        <v>43.317866865861724</v>
      </c>
    </row>
    <row r="378" spans="1:34" x14ac:dyDescent="0.25">
      <c r="A378" s="347">
        <f t="shared" ca="1" si="151"/>
        <v>0.01</v>
      </c>
      <c r="B378" s="304">
        <f t="shared" ca="1" si="152"/>
        <v>3.7399999999999642</v>
      </c>
      <c r="D378" s="306">
        <f t="shared" ca="1" si="153"/>
        <v>10.747276273575167</v>
      </c>
      <c r="E378" s="307">
        <f t="shared" ca="1" si="154"/>
        <v>32.118534279957544</v>
      </c>
      <c r="F378" s="304">
        <f t="shared" ca="1" si="155"/>
        <v>33.868926637751009</v>
      </c>
      <c r="G378" s="306">
        <f t="shared" ca="1" si="156"/>
        <v>49.697610427197219</v>
      </c>
      <c r="H378" s="307">
        <f t="shared" ca="1" si="157"/>
        <v>193.78804467389497</v>
      </c>
      <c r="I378" s="304">
        <f t="shared" ca="1" si="158"/>
        <v>200.05913810847275</v>
      </c>
      <c r="J378" s="306">
        <f t="shared" ca="1" si="159"/>
        <v>94.532988174179692</v>
      </c>
      <c r="K378" s="307">
        <f t="shared" ca="1" si="160"/>
        <v>401.43934379628814</v>
      </c>
      <c r="L378" s="304">
        <f t="shared" ca="1" si="145"/>
        <v>412.41972867545269</v>
      </c>
      <c r="M378" s="306">
        <f t="shared" ca="1" si="161"/>
        <v>1.3197531222526726</v>
      </c>
      <c r="N378" s="304">
        <f t="shared" ca="1" si="162"/>
        <v>75.616283904291109</v>
      </c>
      <c r="P378" s="310">
        <f t="shared" ca="1" si="163"/>
        <v>12</v>
      </c>
      <c r="Q378" s="304">
        <f t="shared" ca="1" si="164"/>
        <v>653.1733333333342</v>
      </c>
      <c r="R378" s="306">
        <f t="shared" ca="1" si="165"/>
        <v>0.32719559461323577</v>
      </c>
      <c r="S378" s="307">
        <f t="shared" ca="1" si="166"/>
        <v>12.613524920417154</v>
      </c>
      <c r="T378" s="304">
        <f t="shared" ca="1" si="146"/>
        <v>123.73867946929229</v>
      </c>
      <c r="U378" s="311">
        <f t="shared" ca="1" si="147"/>
        <v>0</v>
      </c>
      <c r="V378" s="306">
        <f t="shared" ca="1" si="148"/>
        <v>1.1767913233607226</v>
      </c>
      <c r="W378" s="304">
        <f t="shared" ca="1" si="149"/>
        <v>107.55147905682826</v>
      </c>
      <c r="Y378" s="314" t="str">
        <f t="shared" ca="1" si="167"/>
        <v/>
      </c>
      <c r="Z378" s="315" t="str">
        <f t="shared" ca="1" si="168"/>
        <v/>
      </c>
      <c r="AA378" s="316" t="str">
        <f t="shared" ca="1" si="169"/>
        <v/>
      </c>
      <c r="AC378" s="310" t="e">
        <f t="shared" ca="1" si="170"/>
        <v>#N/A</v>
      </c>
      <c r="AD378" s="323" t="e">
        <f t="shared" ca="1" si="171"/>
        <v>#N/A</v>
      </c>
      <c r="AE378" s="324">
        <f t="shared" ca="1" si="150"/>
        <v>401.43934379628814</v>
      </c>
      <c r="AG378" s="306">
        <f t="shared" ca="1" si="172"/>
        <v>33.78122433472199</v>
      </c>
      <c r="AH378" s="304">
        <f t="shared" ca="1" si="173"/>
        <v>43.284014764877419</v>
      </c>
    </row>
    <row r="379" spans="1:34" x14ac:dyDescent="0.25">
      <c r="A379" s="347">
        <f t="shared" ca="1" si="151"/>
        <v>0.01</v>
      </c>
      <c r="B379" s="304">
        <f t="shared" ca="1" si="152"/>
        <v>3.749999999999964</v>
      </c>
      <c r="D379" s="306">
        <f t="shared" ca="1" si="153"/>
        <v>10.743964821420043</v>
      </c>
      <c r="E379" s="307">
        <f t="shared" ca="1" si="154"/>
        <v>32.084407334496163</v>
      </c>
      <c r="F379" s="304">
        <f t="shared" ca="1" si="155"/>
        <v>33.835513504153923</v>
      </c>
      <c r="G379" s="306">
        <f t="shared" ca="1" si="156"/>
        <v>49.805050075411422</v>
      </c>
      <c r="H379" s="307">
        <f t="shared" ca="1" si="157"/>
        <v>194.10888874723994</v>
      </c>
      <c r="I379" s="304">
        <f t="shared" ca="1" si="158"/>
        <v>200.39661599863061</v>
      </c>
      <c r="J379" s="306">
        <f t="shared" ca="1" si="159"/>
        <v>95.030501476692734</v>
      </c>
      <c r="K379" s="307">
        <f t="shared" ca="1" si="160"/>
        <v>403.3788284633938</v>
      </c>
      <c r="L379" s="304">
        <f t="shared" ca="1" si="145"/>
        <v>414.42161558419195</v>
      </c>
      <c r="M379" s="306">
        <f t="shared" ca="1" si="161"/>
        <v>1.3196315160467456</v>
      </c>
      <c r="N379" s="304">
        <f t="shared" ca="1" si="162"/>
        <v>75.609316381928892</v>
      </c>
      <c r="P379" s="310">
        <f t="shared" ca="1" si="163"/>
        <v>12</v>
      </c>
      <c r="Q379" s="304">
        <f t="shared" ca="1" si="164"/>
        <v>652.94666666666751</v>
      </c>
      <c r="R379" s="306">
        <f t="shared" ca="1" si="165"/>
        <v>0.32708204996743628</v>
      </c>
      <c r="S379" s="307">
        <f t="shared" ca="1" si="166"/>
        <v>12.61025409991748</v>
      </c>
      <c r="T379" s="304">
        <f t="shared" ca="1" si="146"/>
        <v>123.70659272019049</v>
      </c>
      <c r="U379" s="311">
        <f t="shared" ca="1" si="147"/>
        <v>0</v>
      </c>
      <c r="V379" s="306">
        <f t="shared" ca="1" si="148"/>
        <v>1.1765630162021681</v>
      </c>
      <c r="W379" s="304">
        <f t="shared" ca="1" si="149"/>
        <v>107.89370395044591</v>
      </c>
      <c r="Y379" s="314" t="str">
        <f t="shared" ca="1" si="167"/>
        <v/>
      </c>
      <c r="Z379" s="315" t="str">
        <f t="shared" ca="1" si="168"/>
        <v/>
      </c>
      <c r="AA379" s="316" t="str">
        <f t="shared" ca="1" si="169"/>
        <v/>
      </c>
      <c r="AC379" s="310" t="e">
        <f t="shared" ca="1" si="170"/>
        <v>#N/A</v>
      </c>
      <c r="AD379" s="323" t="e">
        <f t="shared" ca="1" si="171"/>
        <v>#N/A</v>
      </c>
      <c r="AE379" s="324">
        <f t="shared" ca="1" si="150"/>
        <v>403.3788284633938</v>
      </c>
      <c r="AG379" s="306">
        <f t="shared" ca="1" si="172"/>
        <v>33.747640841832137</v>
      </c>
      <c r="AH379" s="304">
        <f t="shared" ca="1" si="173"/>
        <v>43.250134635543013</v>
      </c>
    </row>
    <row r="380" spans="1:34" x14ac:dyDescent="0.25">
      <c r="A380" s="347">
        <f t="shared" ca="1" si="151"/>
        <v>0.01</v>
      </c>
      <c r="B380" s="304">
        <f t="shared" ca="1" si="152"/>
        <v>3.7599999999999638</v>
      </c>
      <c r="D380" s="306">
        <f t="shared" ca="1" si="153"/>
        <v>10.740632133195673</v>
      </c>
      <c r="E380" s="307">
        <f t="shared" ca="1" si="154"/>
        <v>32.050256433047792</v>
      </c>
      <c r="F380" s="304">
        <f t="shared" ca="1" si="155"/>
        <v>33.802072659006527</v>
      </c>
      <c r="G380" s="306">
        <f t="shared" ca="1" si="156"/>
        <v>49.91245639674338</v>
      </c>
      <c r="H380" s="307">
        <f t="shared" ca="1" si="157"/>
        <v>194.42939131157041</v>
      </c>
      <c r="I380" s="304">
        <f t="shared" ca="1" si="158"/>
        <v>200.73375777219084</v>
      </c>
      <c r="J380" s="306">
        <f t="shared" ca="1" si="159"/>
        <v>95.529089009053507</v>
      </c>
      <c r="K380" s="307">
        <f t="shared" ca="1" si="160"/>
        <v>405.32151986368785</v>
      </c>
      <c r="L380" s="304">
        <f t="shared" ca="1" si="145"/>
        <v>416.42687390646341</v>
      </c>
      <c r="M380" s="306">
        <f t="shared" ca="1" si="161"/>
        <v>1.319510056518141</v>
      </c>
      <c r="N380" s="304">
        <f t="shared" ca="1" si="162"/>
        <v>75.602357263558204</v>
      </c>
      <c r="P380" s="310">
        <f t="shared" ca="1" si="163"/>
        <v>12</v>
      </c>
      <c r="Q380" s="304">
        <f t="shared" ca="1" si="164"/>
        <v>652.72000000000082</v>
      </c>
      <c r="R380" s="306">
        <f t="shared" ca="1" si="165"/>
        <v>0.32696850532163679</v>
      </c>
      <c r="S380" s="307">
        <f t="shared" ca="1" si="166"/>
        <v>12.606984414864263</v>
      </c>
      <c r="T380" s="304">
        <f t="shared" ca="1" si="146"/>
        <v>123.67451710981842</v>
      </c>
      <c r="U380" s="311">
        <f t="shared" ca="1" si="147"/>
        <v>0</v>
      </c>
      <c r="V380" s="306">
        <f t="shared" ca="1" si="148"/>
        <v>1.1763343750697899</v>
      </c>
      <c r="W380" s="304">
        <f t="shared" ca="1" si="149"/>
        <v>108.23600659193268</v>
      </c>
      <c r="Y380" s="314" t="str">
        <f t="shared" ca="1" si="167"/>
        <v/>
      </c>
      <c r="Z380" s="315" t="str">
        <f t="shared" ca="1" si="168"/>
        <v/>
      </c>
      <c r="AA380" s="316" t="str">
        <f t="shared" ca="1" si="169"/>
        <v/>
      </c>
      <c r="AC380" s="310" t="e">
        <f t="shared" ca="1" si="170"/>
        <v>#N/A</v>
      </c>
      <c r="AD380" s="323" t="e">
        <f t="shared" ca="1" si="171"/>
        <v>#N/A</v>
      </c>
      <c r="AE380" s="324">
        <f t="shared" ca="1" si="150"/>
        <v>405.32151986368785</v>
      </c>
      <c r="AG380" s="306">
        <f t="shared" ca="1" si="172"/>
        <v>33.714029290617049</v>
      </c>
      <c r="AH380" s="304">
        <f t="shared" ca="1" si="173"/>
        <v>43.216226666162733</v>
      </c>
    </row>
    <row r="381" spans="1:34" x14ac:dyDescent="0.25">
      <c r="A381" s="347">
        <f t="shared" ca="1" si="151"/>
        <v>0.01</v>
      </c>
      <c r="B381" s="304">
        <f t="shared" ca="1" si="152"/>
        <v>3.7699999999999636</v>
      </c>
      <c r="D381" s="306">
        <f t="shared" ca="1" si="153"/>
        <v>10.737278287484624</v>
      </c>
      <c r="E381" s="307">
        <f t="shared" ca="1" si="154"/>
        <v>32.016081753708029</v>
      </c>
      <c r="F381" s="304">
        <f t="shared" ca="1" si="155"/>
        <v>33.768604292789547</v>
      </c>
      <c r="G381" s="306">
        <f t="shared" ca="1" si="156"/>
        <v>50.019829179618227</v>
      </c>
      <c r="H381" s="307">
        <f t="shared" ca="1" si="157"/>
        <v>194.74955212910749</v>
      </c>
      <c r="I381" s="304">
        <f t="shared" ca="1" si="158"/>
        <v>201.07056315046751</v>
      </c>
      <c r="J381" s="306">
        <f t="shared" ca="1" si="159"/>
        <v>96.028750436935312</v>
      </c>
      <c r="K381" s="307">
        <f t="shared" ca="1" si="160"/>
        <v>407.26741458089123</v>
      </c>
      <c r="L381" s="304">
        <f t="shared" ca="1" si="145"/>
        <v>418.43550027439443</v>
      </c>
      <c r="M381" s="306">
        <f t="shared" ca="1" si="161"/>
        <v>1.3193887430431301</v>
      </c>
      <c r="N381" s="304">
        <f t="shared" ca="1" si="162"/>
        <v>75.595406513442015</v>
      </c>
      <c r="P381" s="310">
        <f t="shared" ca="1" si="163"/>
        <v>12</v>
      </c>
      <c r="Q381" s="304">
        <f t="shared" ca="1" si="164"/>
        <v>652.49333333333425</v>
      </c>
      <c r="R381" s="306">
        <f t="shared" ca="1" si="165"/>
        <v>0.32685496067583736</v>
      </c>
      <c r="S381" s="307">
        <f t="shared" ca="1" si="166"/>
        <v>12.603715865257504</v>
      </c>
      <c r="T381" s="304">
        <f t="shared" ca="1" si="146"/>
        <v>123.64245263817612</v>
      </c>
      <c r="U381" s="311">
        <f t="shared" ca="1" si="147"/>
        <v>0</v>
      </c>
      <c r="V381" s="306">
        <f t="shared" ca="1" si="148"/>
        <v>1.1761054005687082</v>
      </c>
      <c r="W381" s="304">
        <f t="shared" ca="1" si="149"/>
        <v>108.57838445534648</v>
      </c>
      <c r="Y381" s="314" t="str">
        <f t="shared" ca="1" si="167"/>
        <v/>
      </c>
      <c r="Z381" s="315" t="str">
        <f t="shared" ca="1" si="168"/>
        <v/>
      </c>
      <c r="AA381" s="316" t="str">
        <f t="shared" ca="1" si="169"/>
        <v/>
      </c>
      <c r="AC381" s="310" t="e">
        <f t="shared" ca="1" si="170"/>
        <v>#N/A</v>
      </c>
      <c r="AD381" s="323" t="e">
        <f t="shared" ca="1" si="171"/>
        <v>#N/A</v>
      </c>
      <c r="AE381" s="324">
        <f t="shared" ca="1" si="150"/>
        <v>407.26741458089123</v>
      </c>
      <c r="AG381" s="306">
        <f t="shared" ca="1" si="172"/>
        <v>33.680389870304751</v>
      </c>
      <c r="AH381" s="304">
        <f t="shared" ca="1" si="173"/>
        <v>43.182291044949856</v>
      </c>
    </row>
    <row r="382" spans="1:34" x14ac:dyDescent="0.25">
      <c r="A382" s="347">
        <f t="shared" ca="1" si="151"/>
        <v>0.01</v>
      </c>
      <c r="B382" s="304">
        <f t="shared" ca="1" si="152"/>
        <v>3.7799999999999634</v>
      </c>
      <c r="D382" s="306">
        <f t="shared" ca="1" si="153"/>
        <v>10.733903362728698</v>
      </c>
      <c r="E382" s="307">
        <f t="shared" ca="1" si="154"/>
        <v>31.981883474490679</v>
      </c>
      <c r="F382" s="304">
        <f t="shared" ca="1" si="155"/>
        <v>33.735108595887141</v>
      </c>
      <c r="G382" s="306">
        <f t="shared" ca="1" si="156"/>
        <v>50.127168213245511</v>
      </c>
      <c r="H382" s="307">
        <f t="shared" ca="1" si="157"/>
        <v>195.06937096385238</v>
      </c>
      <c r="I382" s="304">
        <f t="shared" ca="1" si="158"/>
        <v>201.40703185666598</v>
      </c>
      <c r="J382" s="306">
        <f t="shared" ca="1" si="159"/>
        <v>96.529485423899629</v>
      </c>
      <c r="K382" s="307">
        <f t="shared" ca="1" si="160"/>
        <v>409.21650919635601</v>
      </c>
      <c r="L382" s="304">
        <f t="shared" ca="1" si="145"/>
        <v>420.44749131735131</v>
      </c>
      <c r="M382" s="306">
        <f t="shared" ca="1" si="161"/>
        <v>1.3192675750013787</v>
      </c>
      <c r="N382" s="304">
        <f t="shared" ca="1" si="162"/>
        <v>75.588464096037796</v>
      </c>
      <c r="P382" s="310">
        <f t="shared" ca="1" si="163"/>
        <v>12</v>
      </c>
      <c r="Q382" s="304">
        <f t="shared" ca="1" si="164"/>
        <v>652.26666666666756</v>
      </c>
      <c r="R382" s="306">
        <f t="shared" ca="1" si="165"/>
        <v>0.32674141603003787</v>
      </c>
      <c r="S382" s="307">
        <f t="shared" ca="1" si="166"/>
        <v>12.600448451097204</v>
      </c>
      <c r="T382" s="304">
        <f t="shared" ca="1" si="146"/>
        <v>123.61039930526358</v>
      </c>
      <c r="U382" s="311">
        <f t="shared" ca="1" si="147"/>
        <v>0</v>
      </c>
      <c r="V382" s="306">
        <f t="shared" ca="1" si="148"/>
        <v>1.1758760933042527</v>
      </c>
      <c r="W382" s="304">
        <f t="shared" ca="1" si="149"/>
        <v>108.92083501859851</v>
      </c>
      <c r="Y382" s="314" t="str">
        <f t="shared" ca="1" si="167"/>
        <v/>
      </c>
      <c r="Z382" s="315" t="str">
        <f t="shared" ca="1" si="168"/>
        <v/>
      </c>
      <c r="AA382" s="316" t="str">
        <f t="shared" ca="1" si="169"/>
        <v/>
      </c>
      <c r="AC382" s="310" t="e">
        <f t="shared" ca="1" si="170"/>
        <v>#N/A</v>
      </c>
      <c r="AD382" s="323" t="e">
        <f t="shared" ca="1" si="171"/>
        <v>#N/A</v>
      </c>
      <c r="AE382" s="324">
        <f t="shared" ca="1" si="150"/>
        <v>409.21650919635601</v>
      </c>
      <c r="AG382" s="306">
        <f t="shared" ca="1" si="172"/>
        <v>33.646722770024994</v>
      </c>
      <c r="AH382" s="304">
        <f t="shared" ca="1" si="173"/>
        <v>43.148327960024197</v>
      </c>
    </row>
    <row r="383" spans="1:34" x14ac:dyDescent="0.25">
      <c r="A383" s="347">
        <f t="shared" ca="1" si="151"/>
        <v>0.01</v>
      </c>
      <c r="B383" s="304">
        <f t="shared" ca="1" si="152"/>
        <v>3.7899999999999632</v>
      </c>
      <c r="D383" s="306">
        <f t="shared" ca="1" si="153"/>
        <v>10.730507437229484</v>
      </c>
      <c r="E383" s="307">
        <f t="shared" ca="1" si="154"/>
        <v>31.947661773325407</v>
      </c>
      <c r="F383" s="304">
        <f t="shared" ca="1" si="155"/>
        <v>33.701585758584635</v>
      </c>
      <c r="G383" s="306">
        <f t="shared" ca="1" si="156"/>
        <v>50.234473287617803</v>
      </c>
      <c r="H383" s="307">
        <f t="shared" ca="1" si="157"/>
        <v>195.38884758158562</v>
      </c>
      <c r="I383" s="304">
        <f t="shared" ca="1" si="158"/>
        <v>201.74316361588185</v>
      </c>
      <c r="J383" s="306">
        <f t="shared" ca="1" si="159"/>
        <v>97.03129363140394</v>
      </c>
      <c r="K383" s="307">
        <f t="shared" ca="1" si="160"/>
        <v>411.16880028908321</v>
      </c>
      <c r="L383" s="304">
        <f t="shared" ca="1" si="145"/>
        <v>422.46284366195772</v>
      </c>
      <c r="M383" s="306">
        <f t="shared" ca="1" si="161"/>
        <v>1.3191465517759218</v>
      </c>
      <c r="N383" s="304">
        <f t="shared" ca="1" si="162"/>
        <v>75.581529975996048</v>
      </c>
      <c r="P383" s="310">
        <f t="shared" ca="1" si="163"/>
        <v>12</v>
      </c>
      <c r="Q383" s="304">
        <f t="shared" ca="1" si="164"/>
        <v>652.04000000000087</v>
      </c>
      <c r="R383" s="306">
        <f t="shared" ca="1" si="165"/>
        <v>0.32662787138423838</v>
      </c>
      <c r="S383" s="307">
        <f t="shared" ca="1" si="166"/>
        <v>12.597182172383361</v>
      </c>
      <c r="T383" s="304">
        <f t="shared" ca="1" si="146"/>
        <v>123.57835711108078</v>
      </c>
      <c r="U383" s="311">
        <f t="shared" ca="1" si="147"/>
        <v>0</v>
      </c>
      <c r="V383" s="306">
        <f t="shared" ca="1" si="148"/>
        <v>1.1756464538819555</v>
      </c>
      <c r="W383" s="304">
        <f t="shared" ca="1" si="149"/>
        <v>109.26335576347948</v>
      </c>
      <c r="Y383" s="314" t="str">
        <f t="shared" ca="1" si="167"/>
        <v/>
      </c>
      <c r="Z383" s="315" t="str">
        <f t="shared" ca="1" si="168"/>
        <v/>
      </c>
      <c r="AA383" s="316" t="str">
        <f t="shared" ca="1" si="169"/>
        <v/>
      </c>
      <c r="AC383" s="310" t="e">
        <f t="shared" ca="1" si="170"/>
        <v>#N/A</v>
      </c>
      <c r="AD383" s="323" t="e">
        <f t="shared" ca="1" si="171"/>
        <v>#N/A</v>
      </c>
      <c r="AE383" s="324">
        <f t="shared" ca="1" si="150"/>
        <v>411.16880028908321</v>
      </c>
      <c r="AG383" s="306">
        <f t="shared" ca="1" si="172"/>
        <v>33.613028178806957</v>
      </c>
      <c r="AH383" s="304">
        <f t="shared" ca="1" si="173"/>
        <v>43.114337599409772</v>
      </c>
    </row>
    <row r="384" spans="1:34" x14ac:dyDescent="0.25">
      <c r="A384" s="347">
        <f t="shared" ca="1" si="151"/>
        <v>0.01</v>
      </c>
      <c r="B384" s="304">
        <f t="shared" ca="1" si="152"/>
        <v>3.799999999999963</v>
      </c>
      <c r="D384" s="306">
        <f t="shared" ca="1" si="153"/>
        <v>10.727090589148924</v>
      </c>
      <c r="E384" s="307">
        <f t="shared" ca="1" si="154"/>
        <v>31.913416828055176</v>
      </c>
      <c r="F384" s="304">
        <f t="shared" ca="1" si="155"/>
        <v>33.668035971066132</v>
      </c>
      <c r="G384" s="306">
        <f t="shared" ca="1" si="156"/>
        <v>50.341744193509292</v>
      </c>
      <c r="H384" s="307">
        <f t="shared" ca="1" si="157"/>
        <v>195.70798174986618</v>
      </c>
      <c r="I384" s="304">
        <f t="shared" ca="1" si="158"/>
        <v>202.07895815510005</v>
      </c>
      <c r="J384" s="306">
        <f t="shared" ca="1" si="159"/>
        <v>97.534174718809581</v>
      </c>
      <c r="K384" s="307">
        <f t="shared" ca="1" si="160"/>
        <v>413.12428443574049</v>
      </c>
      <c r="L384" s="304">
        <f t="shared" ca="1" si="145"/>
        <v>424.48155393211363</v>
      </c>
      <c r="M384" s="306">
        <f t="shared" ca="1" si="161"/>
        <v>1.3190256727531382</v>
      </c>
      <c r="N384" s="304">
        <f t="shared" ca="1" si="162"/>
        <v>75.574604118158888</v>
      </c>
      <c r="P384" s="310">
        <f t="shared" ca="1" si="163"/>
        <v>12</v>
      </c>
      <c r="Q384" s="304">
        <f t="shared" ca="1" si="164"/>
        <v>651.81333333333419</v>
      </c>
      <c r="R384" s="306">
        <f t="shared" ca="1" si="165"/>
        <v>0.32651432673843889</v>
      </c>
      <c r="S384" s="307">
        <f t="shared" ca="1" si="166"/>
        <v>12.593917029115977</v>
      </c>
      <c r="T384" s="304">
        <f t="shared" ca="1" si="146"/>
        <v>123.54632605562773</v>
      </c>
      <c r="U384" s="311">
        <f t="shared" ca="1" si="147"/>
        <v>0</v>
      </c>
      <c r="V384" s="306">
        <f t="shared" ca="1" si="148"/>
        <v>1.1754164829075531</v>
      </c>
      <c r="W384" s="304">
        <f t="shared" ca="1" si="149"/>
        <v>109.60594417568643</v>
      </c>
      <c r="Y384" s="314" t="str">
        <f t="shared" ca="1" si="167"/>
        <v/>
      </c>
      <c r="Z384" s="315" t="str">
        <f t="shared" ca="1" si="168"/>
        <v/>
      </c>
      <c r="AA384" s="316" t="str">
        <f t="shared" ca="1" si="169"/>
        <v/>
      </c>
      <c r="AC384" s="310" t="e">
        <f t="shared" ca="1" si="170"/>
        <v>#N/A</v>
      </c>
      <c r="AD384" s="323" t="e">
        <f t="shared" ca="1" si="171"/>
        <v>#N/A</v>
      </c>
      <c r="AE384" s="324">
        <f t="shared" ca="1" si="150"/>
        <v>413.12428443574049</v>
      </c>
      <c r="AG384" s="306">
        <f t="shared" ca="1" si="172"/>
        <v>33.579306285576848</v>
      </c>
      <c r="AH384" s="304">
        <f t="shared" ca="1" si="173"/>
        <v>43.080320151032367</v>
      </c>
    </row>
    <row r="385" spans="1:34" x14ac:dyDescent="0.25">
      <c r="A385" s="347">
        <f t="shared" ca="1" si="151"/>
        <v>0.01</v>
      </c>
      <c r="B385" s="304">
        <f t="shared" ca="1" si="152"/>
        <v>3.8099999999999627</v>
      </c>
      <c r="D385" s="306">
        <f t="shared" ca="1" si="153"/>
        <v>10.712240488353631</v>
      </c>
      <c r="E385" s="307">
        <f t="shared" ca="1" si="154"/>
        <v>31.834782070645723</v>
      </c>
      <c r="F385" s="304">
        <f t="shared" ca="1" si="155"/>
        <v>33.588769637571261</v>
      </c>
      <c r="G385" s="306">
        <f t="shared" ca="1" si="156"/>
        <v>50.448866598392826</v>
      </c>
      <c r="H385" s="307">
        <f t="shared" ca="1" si="157"/>
        <v>196.02632957057264</v>
      </c>
      <c r="I385" s="304">
        <f t="shared" ca="1" si="158"/>
        <v>202.41395709281809</v>
      </c>
      <c r="J385" s="306">
        <f t="shared" ca="1" si="159"/>
        <v>98.038127772769087</v>
      </c>
      <c r="K385" s="307">
        <f t="shared" ca="1" si="160"/>
        <v>415.0829559923427</v>
      </c>
      <c r="L385" s="304">
        <f t="shared" ca="1" si="145"/>
        <v>426.50361645891223</v>
      </c>
      <c r="M385" s="306">
        <f t="shared" ca="1" si="161"/>
        <v>1.3189049370494745</v>
      </c>
      <c r="N385" s="304">
        <f t="shared" ca="1" si="162"/>
        <v>75.567686471902419</v>
      </c>
      <c r="P385" s="310">
        <f t="shared" ca="1" si="163"/>
        <v>13</v>
      </c>
      <c r="Q385" s="304">
        <f t="shared" ca="1" si="164"/>
        <v>651.01000000000511</v>
      </c>
      <c r="R385" s="306">
        <f t="shared" ca="1" si="165"/>
        <v>0.32611191115553406</v>
      </c>
      <c r="S385" s="307">
        <f t="shared" ca="1" si="166"/>
        <v>12.590655910004422</v>
      </c>
      <c r="T385" s="304">
        <f t="shared" ca="1" si="146"/>
        <v>123.51433447714338</v>
      </c>
      <c r="U385" s="311">
        <f t="shared" ca="1" si="147"/>
        <v>0</v>
      </c>
      <c r="V385" s="306">
        <f t="shared" ca="1" si="148"/>
        <v>1.1751861812477848</v>
      </c>
      <c r="W385" s="304">
        <f t="shared" ca="1" si="149"/>
        <v>109.94810009188411</v>
      </c>
      <c r="Y385" s="314" t="str">
        <f t="shared" ca="1" si="167"/>
        <v/>
      </c>
      <c r="Z385" s="315" t="str">
        <f t="shared" ca="1" si="168"/>
        <v/>
      </c>
      <c r="AA385" s="316" t="str">
        <f t="shared" ca="1" si="169"/>
        <v/>
      </c>
      <c r="AC385" s="310" t="e">
        <f t="shared" ca="1" si="170"/>
        <v>#N/A</v>
      </c>
      <c r="AD385" s="323" t="e">
        <f t="shared" ca="1" si="171"/>
        <v>#N/A</v>
      </c>
      <c r="AE385" s="324">
        <f t="shared" ca="1" si="150"/>
        <v>415.0829559923427</v>
      </c>
      <c r="AG385" s="306">
        <f t="shared" ca="1" si="172"/>
        <v>33.499746241274359</v>
      </c>
      <c r="AH385" s="304">
        <f t="shared" ca="1" si="173"/>
        <v>43.000464764835954</v>
      </c>
    </row>
    <row r="386" spans="1:34" x14ac:dyDescent="0.25">
      <c r="A386" s="347">
        <f t="shared" ca="1" si="151"/>
        <v>0.01</v>
      </c>
      <c r="B386" s="304">
        <f t="shared" ca="1" si="152"/>
        <v>3.8199999999999625</v>
      </c>
      <c r="D386" s="306">
        <f t="shared" ca="1" si="153"/>
        <v>10.685939698339228</v>
      </c>
      <c r="E386" s="307">
        <f t="shared" ca="1" si="154"/>
        <v>31.711756152687173</v>
      </c>
      <c r="F386" s="304">
        <f t="shared" ca="1" si="155"/>
        <v>33.463783192042634</v>
      </c>
      <c r="G386" s="306">
        <f t="shared" ca="1" si="156"/>
        <v>50.555725995376221</v>
      </c>
      <c r="H386" s="307">
        <f t="shared" ca="1" si="157"/>
        <v>196.34344713209953</v>
      </c>
      <c r="I386" s="304">
        <f t="shared" ca="1" si="158"/>
        <v>202.74770199100931</v>
      </c>
      <c r="J386" s="306">
        <f t="shared" ca="1" si="159"/>
        <v>98.543150735737939</v>
      </c>
      <c r="K386" s="307">
        <f t="shared" ca="1" si="160"/>
        <v>417.04480487585607</v>
      </c>
      <c r="L386" s="304">
        <f t="shared" ca="1" si="145"/>
        <v>428.52902099025596</v>
      </c>
      <c r="M386" s="306">
        <f t="shared" ca="1" si="161"/>
        <v>1.3187843435143469</v>
      </c>
      <c r="N386" s="304">
        <f t="shared" ca="1" si="162"/>
        <v>75.560776971303042</v>
      </c>
      <c r="P386" s="310">
        <f t="shared" ca="1" si="163"/>
        <v>13</v>
      </c>
      <c r="Q386" s="304">
        <f t="shared" ca="1" si="164"/>
        <v>649.63000000000523</v>
      </c>
      <c r="R386" s="306">
        <f t="shared" ca="1" si="165"/>
        <v>0.32542062463551963</v>
      </c>
      <c r="S386" s="307">
        <f t="shared" ca="1" si="166"/>
        <v>12.587401703758067</v>
      </c>
      <c r="T386" s="304">
        <f t="shared" ca="1" si="146"/>
        <v>123.48241071386664</v>
      </c>
      <c r="U386" s="311">
        <f t="shared" ca="1" si="147"/>
        <v>0</v>
      </c>
      <c r="V386" s="306">
        <f t="shared" ca="1" si="148"/>
        <v>1.1749555502909101</v>
      </c>
      <c r="W386" s="304">
        <f t="shared" ca="1" si="149"/>
        <v>110.28932044064635</v>
      </c>
      <c r="Y386" s="314" t="str">
        <f t="shared" ca="1" si="167"/>
        <v/>
      </c>
      <c r="Z386" s="315" t="str">
        <f t="shared" ca="1" si="168"/>
        <v/>
      </c>
      <c r="AA386" s="316" t="str">
        <f t="shared" ca="1" si="169"/>
        <v/>
      </c>
      <c r="AC386" s="310" t="e">
        <f t="shared" ca="1" si="170"/>
        <v>#N/A</v>
      </c>
      <c r="AD386" s="323" t="e">
        <f t="shared" ca="1" si="171"/>
        <v>#N/A</v>
      </c>
      <c r="AE386" s="324">
        <f t="shared" ca="1" si="150"/>
        <v>417.04480487585607</v>
      </c>
      <c r="AG386" s="306">
        <f t="shared" ca="1" si="172"/>
        <v>33.374342393150954</v>
      </c>
      <c r="AH386" s="304">
        <f t="shared" ca="1" si="173"/>
        <v>42.874765786412844</v>
      </c>
    </row>
    <row r="387" spans="1:34" x14ac:dyDescent="0.25">
      <c r="A387" s="347">
        <f t="shared" ca="1" si="151"/>
        <v>0.01</v>
      </c>
      <c r="B387" s="304">
        <f t="shared" ca="1" si="152"/>
        <v>3.8299999999999623</v>
      </c>
      <c r="D387" s="306">
        <f t="shared" ca="1" si="153"/>
        <v>10.659599944027217</v>
      </c>
      <c r="E387" s="307">
        <f t="shared" ca="1" si="154"/>
        <v>31.588725007941889</v>
      </c>
      <c r="F387" s="304">
        <f t="shared" ca="1" si="155"/>
        <v>33.338785499686068</v>
      </c>
      <c r="G387" s="306">
        <f t="shared" ca="1" si="156"/>
        <v>50.662321994816494</v>
      </c>
      <c r="H387" s="307">
        <f t="shared" ca="1" si="157"/>
        <v>196.65933438217894</v>
      </c>
      <c r="I387" s="304">
        <f t="shared" ca="1" si="158"/>
        <v>203.0801927061035</v>
      </c>
      <c r="J387" s="306">
        <f t="shared" ca="1" si="159"/>
        <v>99.049240975688903</v>
      </c>
      <c r="K387" s="307">
        <f t="shared" ca="1" si="160"/>
        <v>419.00981878342748</v>
      </c>
      <c r="L387" s="304">
        <f t="shared" ca="1" si="145"/>
        <v>430.55775498158295</v>
      </c>
      <c r="M387" s="306">
        <f t="shared" ca="1" si="161"/>
        <v>1.3186638910048498</v>
      </c>
      <c r="N387" s="304">
        <f t="shared" ca="1" si="162"/>
        <v>75.553875550877095</v>
      </c>
      <c r="P387" s="310">
        <f t="shared" ca="1" si="163"/>
        <v>13</v>
      </c>
      <c r="Q387" s="304">
        <f t="shared" ca="1" si="164"/>
        <v>648.25000000000523</v>
      </c>
      <c r="R387" s="306">
        <f t="shared" ca="1" si="165"/>
        <v>0.32472933811550514</v>
      </c>
      <c r="S387" s="307">
        <f t="shared" ca="1" si="166"/>
        <v>12.584154410376911</v>
      </c>
      <c r="T387" s="304">
        <f t="shared" ca="1" si="146"/>
        <v>123.45055476579751</v>
      </c>
      <c r="U387" s="311">
        <f t="shared" ca="1" si="147"/>
        <v>0</v>
      </c>
      <c r="V387" s="306">
        <f t="shared" ca="1" si="148"/>
        <v>1.1747245916853888</v>
      </c>
      <c r="W387" s="304">
        <f t="shared" ca="1" si="149"/>
        <v>110.62959862838008</v>
      </c>
      <c r="Y387" s="314" t="str">
        <f t="shared" ca="1" si="167"/>
        <v/>
      </c>
      <c r="Z387" s="315" t="str">
        <f t="shared" ca="1" si="168"/>
        <v/>
      </c>
      <c r="AA387" s="316" t="str">
        <f t="shared" ca="1" si="169"/>
        <v/>
      </c>
      <c r="AC387" s="310" t="e">
        <f t="shared" ca="1" si="170"/>
        <v>#N/A</v>
      </c>
      <c r="AD387" s="323" t="e">
        <f t="shared" ca="1" si="171"/>
        <v>#N/A</v>
      </c>
      <c r="AE387" s="324">
        <f t="shared" ca="1" si="150"/>
        <v>419.00981878342748</v>
      </c>
      <c r="AG387" s="306">
        <f t="shared" ca="1" si="172"/>
        <v>33.248924186853515</v>
      </c>
      <c r="AH387" s="304">
        <f t="shared" ca="1" si="173"/>
        <v>42.749052659092911</v>
      </c>
    </row>
    <row r="388" spans="1:34" x14ac:dyDescent="0.25">
      <c r="A388" s="347">
        <f t="shared" ca="1" si="151"/>
        <v>0.01</v>
      </c>
      <c r="B388" s="304">
        <f t="shared" ca="1" si="152"/>
        <v>3.8399999999999621</v>
      </c>
      <c r="D388" s="306">
        <f t="shared" ca="1" si="153"/>
        <v>10.633221501112207</v>
      </c>
      <c r="E388" s="307">
        <f t="shared" ca="1" si="154"/>
        <v>31.465689317219862</v>
      </c>
      <c r="F388" s="304">
        <f t="shared" ca="1" si="155"/>
        <v>33.213777317545791</v>
      </c>
      <c r="G388" s="306">
        <f t="shared" ca="1" si="156"/>
        <v>50.768654209827616</v>
      </c>
      <c r="H388" s="307">
        <f t="shared" ca="1" si="157"/>
        <v>196.97399127535112</v>
      </c>
      <c r="I388" s="304">
        <f t="shared" ca="1" si="158"/>
        <v>203.41142910175711</v>
      </c>
      <c r="J388" s="306">
        <f t="shared" ca="1" si="159"/>
        <v>99.556395856712129</v>
      </c>
      <c r="K388" s="307">
        <f t="shared" ca="1" si="160"/>
        <v>420.97798541171511</v>
      </c>
      <c r="L388" s="304">
        <f t="shared" ref="L388:L451" ca="1" si="174">SQRT(pos_x^2+pos_z^2)</f>
        <v>432.58980588692168</v>
      </c>
      <c r="M388" s="306">
        <f t="shared" ca="1" si="161"/>
        <v>1.3185435783856709</v>
      </c>
      <c r="N388" s="304">
        <f t="shared" ca="1" si="162"/>
        <v>75.546982145575981</v>
      </c>
      <c r="P388" s="310">
        <f t="shared" ca="1" si="163"/>
        <v>13</v>
      </c>
      <c r="Q388" s="304">
        <f t="shared" ca="1" si="164"/>
        <v>646.87000000000523</v>
      </c>
      <c r="R388" s="306">
        <f t="shared" ca="1" si="165"/>
        <v>0.32403805159549065</v>
      </c>
      <c r="S388" s="307">
        <f t="shared" ca="1" si="166"/>
        <v>12.580914029860956</v>
      </c>
      <c r="T388" s="304">
        <f t="shared" ref="T388:T451" ca="1" si="175">m*g</f>
        <v>123.41876663293598</v>
      </c>
      <c r="U388" s="311">
        <f t="shared" ref="U388:U451" ca="1" si="176">IF(pos_xz&lt;L_rampe,Poids*COS(Beta),0)</f>
        <v>0</v>
      </c>
      <c r="V388" s="306">
        <f t="shared" ref="V388:V451" ca="1" si="177">Rho_moyen*(20000-Alt_rampe-pos_z)/(20000+Alt_rampe+pos_z)</f>
        <v>1.1744933070788526</v>
      </c>
      <c r="W388" s="304">
        <f t="shared" ref="W388:W451" ca="1" si="178">1/2*Rho*Sref*Cx*vit_xz^2</f>
        <v>110.96892810232173</v>
      </c>
      <c r="Y388" s="314" t="str">
        <f t="shared" ca="1" si="167"/>
        <v/>
      </c>
      <c r="Z388" s="315" t="str">
        <f t="shared" ca="1" si="168"/>
        <v/>
      </c>
      <c r="AA388" s="316" t="str">
        <f t="shared" ca="1" si="169"/>
        <v/>
      </c>
      <c r="AC388" s="310" t="e">
        <f t="shared" ca="1" si="170"/>
        <v>#N/A</v>
      </c>
      <c r="AD388" s="323" t="e">
        <f t="shared" ca="1" si="171"/>
        <v>#N/A</v>
      </c>
      <c r="AE388" s="324">
        <f t="shared" ref="AE388:AE451" ca="1" si="179">IF(t&lt;T_para, pos_z, NA())</f>
        <v>420.97798541171511</v>
      </c>
      <c r="AG388" s="306">
        <f t="shared" ca="1" si="172"/>
        <v>33.123492345052711</v>
      </c>
      <c r="AH388" s="304">
        <f t="shared" ca="1" si="173"/>
        <v>42.623326103242725</v>
      </c>
    </row>
    <row r="389" spans="1:34" x14ac:dyDescent="0.25">
      <c r="A389" s="347">
        <f t="shared" ref="A389:A452" ca="1" si="180">IF(B388+0.01&lt;=T_ini+ROUNDUP(Temps_fin_propu,0), 0.01, IF(K388&gt;0, 0.1, 0.0001))</f>
        <v>0.01</v>
      </c>
      <c r="B389" s="304">
        <f t="shared" ref="B389:B452" ca="1" si="181">B388+pas</f>
        <v>3.8499999999999619</v>
      </c>
      <c r="D389" s="306">
        <f t="shared" ref="D389:D452" ca="1" si="182">IF(AND(L388&lt;L_rampe,Poussee&lt;Poids*SIN(M388)),0,(-W388+Poussee)/m*COS(M388)-U388/m*SIN(M388))</f>
        <v>10.606804644142125</v>
      </c>
      <c r="E389" s="307">
        <f t="shared" ref="E389:E452" ca="1" si="183">IF(AND(L388&lt;L_rampe,Poussee&lt;Poids*SIN(M388)),0,(-W388+Poussee)/m*SIN(M388)+U388/m*COS(M388)-Poids/m)</f>
        <v>31.342649759035218</v>
      </c>
      <c r="F389" s="304">
        <f t="shared" ref="F389:F452" ca="1" si="184">SQRT(acc_x^2+acc_z^2)</f>
        <v>33.088759400686897</v>
      </c>
      <c r="G389" s="306">
        <f t="shared" ref="G389:G452" ca="1" si="185">G388+acc_x*pas</f>
        <v>50.874722256269038</v>
      </c>
      <c r="H389" s="307">
        <f t="shared" ref="H389:H452" ca="1" si="186">H388+acc_z*pas</f>
        <v>197.28741777294147</v>
      </c>
      <c r="I389" s="304">
        <f t="shared" ref="I389:I452" ca="1" si="187">SQRT(vit_x^2+vit_z^2)</f>
        <v>203.74141104882841</v>
      </c>
      <c r="J389" s="306">
        <f t="shared" ref="J389:J452" ca="1" si="188">J388+0.5*(vit_x+G388)*pas*(K388&gt;=0)</f>
        <v>100.06461273904262</v>
      </c>
      <c r="K389" s="307">
        <f t="shared" ref="K389:K452" ca="1" si="189">K388+0.5*(vit_z+H388)*pas</f>
        <v>422.94929245695658</v>
      </c>
      <c r="L389" s="304">
        <f t="shared" ca="1" si="174"/>
        <v>434.62516115896324</v>
      </c>
      <c r="M389" s="306">
        <f t="shared" ref="M389:M452" ca="1" si="190">IF(AND(L388&gt;L_rampe,G389&gt;0),ATAN2(G389,H389),$M$4)</f>
        <v>1.318423404529008</v>
      </c>
      <c r="N389" s="304">
        <f t="shared" ref="N389:N452" ca="1" si="191">DEGREES(Beta)</f>
        <v>75.540096690781382</v>
      </c>
      <c r="P389" s="310">
        <f t="shared" ref="P389:P452" ca="1" si="192">MATCH(t-pas/2-T_ini,CdP_t)</f>
        <v>13</v>
      </c>
      <c r="Q389" s="304">
        <f t="shared" ref="Q389:Q452" ca="1" si="193">(INDEX(CdP,2,i_P+1)-INDEX(CdP,2,i_P+0))/(INDEX(CdP,1,i_P+1)-INDEX(CdP,1,i_P+0))*(t-pas/2-T_ini-INDEX(CdP,1,i_P+0))+INDEX(CdP,2,i_P+0)</f>
        <v>645.49000000000524</v>
      </c>
      <c r="R389" s="306">
        <f t="shared" ref="R389:R452" ca="1" si="194">Poussee/(g*ISP)</f>
        <v>0.32334676507547616</v>
      </c>
      <c r="S389" s="307">
        <f t="shared" ref="S389:S452" ca="1" si="195">S388-Débit*pas</f>
        <v>12.577680562210201</v>
      </c>
      <c r="T389" s="304">
        <f t="shared" ca="1" si="175"/>
        <v>123.38704631528208</v>
      </c>
      <c r="U389" s="311">
        <f t="shared" ca="1" si="176"/>
        <v>0</v>
      </c>
      <c r="V389" s="306">
        <f t="shared" ca="1" si="177"/>
        <v>1.1742616981180938</v>
      </c>
      <c r="W389" s="304">
        <f t="shared" ca="1" si="178"/>
        <v>111.30730235055802</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f t="shared" ca="1" si="179"/>
        <v>422.94929245695658</v>
      </c>
      <c r="AG389" s="306">
        <f t="shared" ref="AG389:AG452" ca="1" si="201">IF(AND(L388&lt;L_rampe,Poussee&lt;Poids*SIN(M388)),0,(-W388+Poussee)/m-Poids*SIN(M388)/m)</f>
        <v>32.998047587947717</v>
      </c>
      <c r="AH389" s="304">
        <f t="shared" ref="AH389:AH452" ca="1" si="202">IF(AND(L388&lt;L_rampe,Poussee&lt;Poids*SIN(M388)), g*SIN(M388), (-W388+Poussee)/m)</f>
        <v>42.497586836770111</v>
      </c>
    </row>
    <row r="390" spans="1:34" x14ac:dyDescent="0.25">
      <c r="A390" s="347">
        <f t="shared" ca="1" si="180"/>
        <v>0.01</v>
      </c>
      <c r="B390" s="304">
        <f t="shared" ca="1" si="181"/>
        <v>3.8599999999999617</v>
      </c>
      <c r="D390" s="306">
        <f t="shared" ca="1" si="182"/>
        <v>10.580349646521643</v>
      </c>
      <c r="E390" s="307">
        <f t="shared" ca="1" si="183"/>
        <v>31.219607009596857</v>
      </c>
      <c r="F390" s="304">
        <f t="shared" ca="1" si="184"/>
        <v>32.963732502195803</v>
      </c>
      <c r="G390" s="306">
        <f t="shared" ca="1" si="185"/>
        <v>50.980525752734252</v>
      </c>
      <c r="H390" s="307">
        <f t="shared" ca="1" si="186"/>
        <v>197.59961384303745</v>
      </c>
      <c r="I390" s="304">
        <f t="shared" ca="1" si="187"/>
        <v>204.07013842535295</v>
      </c>
      <c r="J390" s="306">
        <f t="shared" ca="1" si="188"/>
        <v>100.57388897908763</v>
      </c>
      <c r="K390" s="307">
        <f t="shared" ca="1" si="189"/>
        <v>424.92372761503646</v>
      </c>
      <c r="L390" s="304">
        <f t="shared" ca="1" si="174"/>
        <v>436.6638082491329</v>
      </c>
      <c r="M390" s="306">
        <f t="shared" ca="1" si="190"/>
        <v>1.3183033683144865</v>
      </c>
      <c r="N390" s="304">
        <f t="shared" ca="1" si="191"/>
        <v>75.533219122300579</v>
      </c>
      <c r="P390" s="310">
        <f t="shared" ca="1" si="192"/>
        <v>13</v>
      </c>
      <c r="Q390" s="304">
        <f t="shared" ca="1" si="193"/>
        <v>644.11000000000524</v>
      </c>
      <c r="R390" s="306">
        <f t="shared" ca="1" si="194"/>
        <v>0.32265547855546167</v>
      </c>
      <c r="S390" s="307">
        <f t="shared" ca="1" si="195"/>
        <v>12.574454007424647</v>
      </c>
      <c r="T390" s="304">
        <f t="shared" ca="1" si="175"/>
        <v>123.35539381283579</v>
      </c>
      <c r="U390" s="311">
        <f t="shared" ca="1" si="176"/>
        <v>0</v>
      </c>
      <c r="V390" s="306">
        <f t="shared" ca="1" si="177"/>
        <v>1.1740297664490518</v>
      </c>
      <c r="W390" s="304">
        <f t="shared" ca="1" si="178"/>
        <v>111.64471490204549</v>
      </c>
      <c r="Y390" s="314" t="str">
        <f t="shared" ca="1" si="196"/>
        <v/>
      </c>
      <c r="Z390" s="315" t="str">
        <f t="shared" ca="1" si="197"/>
        <v/>
      </c>
      <c r="AA390" s="316" t="str">
        <f t="shared" ca="1" si="198"/>
        <v/>
      </c>
      <c r="AC390" s="310" t="e">
        <f t="shared" ca="1" si="199"/>
        <v>#N/A</v>
      </c>
      <c r="AD390" s="323" t="e">
        <f t="shared" ca="1" si="200"/>
        <v>#N/A</v>
      </c>
      <c r="AE390" s="324">
        <f t="shared" ca="1" si="179"/>
        <v>424.92372761503646</v>
      </c>
      <c r="AG390" s="306">
        <f t="shared" ca="1" si="201"/>
        <v>32.872590633257531</v>
      </c>
      <c r="AH390" s="304">
        <f t="shared" ca="1" si="202"/>
        <v>42.371835575115341</v>
      </c>
    </row>
    <row r="391" spans="1:34" x14ac:dyDescent="0.25">
      <c r="A391" s="347">
        <f t="shared" ca="1" si="180"/>
        <v>0.01</v>
      </c>
      <c r="B391" s="304">
        <f t="shared" ca="1" si="181"/>
        <v>3.8699999999999615</v>
      </c>
      <c r="D391" s="306">
        <f t="shared" ca="1" si="182"/>
        <v>10.553856780515515</v>
      </c>
      <c r="E391" s="307">
        <f t="shared" ca="1" si="183"/>
        <v>31.096561742799182</v>
      </c>
      <c r="F391" s="304">
        <f t="shared" ca="1" si="184"/>
        <v>32.83869737318085</v>
      </c>
      <c r="G391" s="306">
        <f t="shared" ca="1" si="185"/>
        <v>51.086064320539407</v>
      </c>
      <c r="H391" s="307">
        <f t="shared" ca="1" si="186"/>
        <v>197.91057946046544</v>
      </c>
      <c r="I391" s="304">
        <f t="shared" ca="1" si="187"/>
        <v>204.39761111651842</v>
      </c>
      <c r="J391" s="306">
        <f t="shared" ca="1" si="188"/>
        <v>101.08422192945399</v>
      </c>
      <c r="K391" s="307">
        <f t="shared" ca="1" si="189"/>
        <v>426.90127858155398</v>
      </c>
      <c r="L391" s="304">
        <f t="shared" ca="1" si="174"/>
        <v>438.70573460766235</v>
      </c>
      <c r="M391" s="306">
        <f t="shared" ca="1" si="190"/>
        <v>1.3181834686290792</v>
      </c>
      <c r="N391" s="304">
        <f t="shared" ca="1" si="191"/>
        <v>75.526349376361793</v>
      </c>
      <c r="P391" s="310">
        <f t="shared" ca="1" si="192"/>
        <v>13</v>
      </c>
      <c r="Q391" s="304">
        <f t="shared" ca="1" si="193"/>
        <v>642.73000000000536</v>
      </c>
      <c r="R391" s="306">
        <f t="shared" ca="1" si="194"/>
        <v>0.32196419203544724</v>
      </c>
      <c r="S391" s="307">
        <f t="shared" ca="1" si="195"/>
        <v>12.571234365504292</v>
      </c>
      <c r="T391" s="304">
        <f t="shared" ca="1" si="175"/>
        <v>123.32380912559711</v>
      </c>
      <c r="U391" s="311">
        <f t="shared" ca="1" si="176"/>
        <v>0</v>
      </c>
      <c r="V391" s="306">
        <f t="shared" ca="1" si="177"/>
        <v>1.1737975137168022</v>
      </c>
      <c r="W391" s="304">
        <f t="shared" ca="1" si="178"/>
        <v>111.98115932662809</v>
      </c>
      <c r="Y391" s="314" t="str">
        <f t="shared" ca="1" si="196"/>
        <v/>
      </c>
      <c r="Z391" s="315" t="str">
        <f t="shared" ca="1" si="197"/>
        <v/>
      </c>
      <c r="AA391" s="316" t="str">
        <f t="shared" ca="1" si="198"/>
        <v/>
      </c>
      <c r="AC391" s="310" t="e">
        <f t="shared" ca="1" si="199"/>
        <v>#N/A</v>
      </c>
      <c r="AD391" s="323" t="e">
        <f t="shared" ca="1" si="200"/>
        <v>#N/A</v>
      </c>
      <c r="AE391" s="324">
        <f t="shared" ca="1" si="179"/>
        <v>426.90127858155398</v>
      </c>
      <c r="AG391" s="306">
        <f t="shared" ca="1" si="201"/>
        <v>32.747122196212487</v>
      </c>
      <c r="AH391" s="304">
        <f t="shared" ca="1" si="202"/>
        <v>42.246073031242503</v>
      </c>
    </row>
    <row r="392" spans="1:34" x14ac:dyDescent="0.25">
      <c r="A392" s="347">
        <f t="shared" ca="1" si="180"/>
        <v>0.01</v>
      </c>
      <c r="B392" s="304">
        <f t="shared" ca="1" si="181"/>
        <v>3.8799999999999613</v>
      </c>
      <c r="D392" s="306">
        <f t="shared" ca="1" si="182"/>
        <v>10.527326317251863</v>
      </c>
      <c r="E392" s="307">
        <f t="shared" ca="1" si="183"/>
        <v>30.973514630213039</v>
      </c>
      <c r="F392" s="304">
        <f t="shared" ca="1" si="184"/>
        <v>32.713654762773373</v>
      </c>
      <c r="G392" s="306">
        <f t="shared" ca="1" si="185"/>
        <v>51.191337583711928</v>
      </c>
      <c r="H392" s="307">
        <f t="shared" ca="1" si="186"/>
        <v>198.22031460676757</v>
      </c>
      <c r="I392" s="304">
        <f t="shared" ca="1" si="187"/>
        <v>204.72382901463982</v>
      </c>
      <c r="J392" s="306">
        <f t="shared" ca="1" si="188"/>
        <v>101.59560893897525</v>
      </c>
      <c r="K392" s="307">
        <f t="shared" ca="1" si="189"/>
        <v>428.88193305189014</v>
      </c>
      <c r="L392" s="304">
        <f t="shared" ca="1" si="174"/>
        <v>440.75092768366028</v>
      </c>
      <c r="M392" s="306">
        <f t="shared" ca="1" si="190"/>
        <v>1.3180637043670256</v>
      </c>
      <c r="N392" s="304">
        <f t="shared" ca="1" si="191"/>
        <v>75.519487389609623</v>
      </c>
      <c r="P392" s="310">
        <f t="shared" ca="1" si="192"/>
        <v>13</v>
      </c>
      <c r="Q392" s="304">
        <f t="shared" ca="1" si="193"/>
        <v>641.35000000000537</v>
      </c>
      <c r="R392" s="306">
        <f t="shared" ca="1" si="194"/>
        <v>0.32127290551543275</v>
      </c>
      <c r="S392" s="307">
        <f t="shared" ca="1" si="195"/>
        <v>12.568021636449139</v>
      </c>
      <c r="T392" s="304">
        <f t="shared" ca="1" si="175"/>
        <v>123.29229225356606</v>
      </c>
      <c r="U392" s="311">
        <f t="shared" ca="1" si="176"/>
        <v>0</v>
      </c>
      <c r="V392" s="306">
        <f t="shared" ca="1" si="177"/>
        <v>1.1735649415655438</v>
      </c>
      <c r="W392" s="304">
        <f t="shared" ca="1" si="178"/>
        <v>112.31662923505363</v>
      </c>
      <c r="Y392" s="314" t="str">
        <f t="shared" ca="1" si="196"/>
        <v/>
      </c>
      <c r="Z392" s="315" t="str">
        <f t="shared" ca="1" si="197"/>
        <v/>
      </c>
      <c r="AA392" s="316" t="str">
        <f t="shared" ca="1" si="198"/>
        <v/>
      </c>
      <c r="AC392" s="310" t="e">
        <f t="shared" ca="1" si="199"/>
        <v>#N/A</v>
      </c>
      <c r="AD392" s="323" t="e">
        <f t="shared" ca="1" si="200"/>
        <v>#N/A</v>
      </c>
      <c r="AE392" s="324">
        <f t="shared" ca="1" si="179"/>
        <v>428.88193305189014</v>
      </c>
      <c r="AG392" s="306">
        <f t="shared" ca="1" si="201"/>
        <v>32.621642989545904</v>
      </c>
      <c r="AH392" s="304">
        <f t="shared" ca="1" si="202"/>
        <v>42.120299915631001</v>
      </c>
    </row>
    <row r="393" spans="1:34" x14ac:dyDescent="0.25">
      <c r="A393" s="347">
        <f t="shared" ca="1" si="180"/>
        <v>0.01</v>
      </c>
      <c r="B393" s="304">
        <f t="shared" ca="1" si="181"/>
        <v>3.889999999999961</v>
      </c>
      <c r="D393" s="306">
        <f t="shared" ca="1" si="182"/>
        <v>10.500758526725436</v>
      </c>
      <c r="E393" s="307">
        <f t="shared" ca="1" si="183"/>
        <v>30.850466341076704</v>
      </c>
      <c r="F393" s="304">
        <f t="shared" ca="1" si="184"/>
        <v>32.58860541812895</v>
      </c>
      <c r="G393" s="306">
        <f t="shared" ca="1" si="185"/>
        <v>51.29634516897918</v>
      </c>
      <c r="H393" s="307">
        <f t="shared" ca="1" si="186"/>
        <v>198.52881927017833</v>
      </c>
      <c r="I393" s="304">
        <f t="shared" ca="1" si="187"/>
        <v>205.04879201913428</v>
      </c>
      <c r="J393" s="306">
        <f t="shared" ca="1" si="188"/>
        <v>102.10804735273871</v>
      </c>
      <c r="K393" s="307">
        <f t="shared" ca="1" si="189"/>
        <v>430.86567872127489</v>
      </c>
      <c r="L393" s="304">
        <f t="shared" ca="1" si="174"/>
        <v>442.7993749251844</v>
      </c>
      <c r="M393" s="306">
        <f t="shared" ca="1" si="190"/>
        <v>1.3179440744297526</v>
      </c>
      <c r="N393" s="304">
        <f t="shared" ca="1" si="191"/>
        <v>75.512633099100469</v>
      </c>
      <c r="P393" s="310">
        <f t="shared" ca="1" si="192"/>
        <v>13</v>
      </c>
      <c r="Q393" s="304">
        <f t="shared" ca="1" si="193"/>
        <v>639.97000000000537</v>
      </c>
      <c r="R393" s="306">
        <f t="shared" ca="1" si="194"/>
        <v>0.32058161899541826</v>
      </c>
      <c r="S393" s="307">
        <f t="shared" ca="1" si="195"/>
        <v>12.564815820259184</v>
      </c>
      <c r="T393" s="304">
        <f t="shared" ca="1" si="175"/>
        <v>123.2608431967426</v>
      </c>
      <c r="U393" s="311">
        <f t="shared" ca="1" si="176"/>
        <v>0</v>
      </c>
      <c r="V393" s="306">
        <f t="shared" ca="1" si="177"/>
        <v>1.1733320516385877</v>
      </c>
      <c r="W393" s="304">
        <f t="shared" ca="1" si="178"/>
        <v>112.65111827898872</v>
      </c>
      <c r="Y393" s="314" t="str">
        <f t="shared" ca="1" si="196"/>
        <v/>
      </c>
      <c r="Z393" s="315" t="str">
        <f t="shared" ca="1" si="197"/>
        <v/>
      </c>
      <c r="AA393" s="316" t="str">
        <f t="shared" ca="1" si="198"/>
        <v/>
      </c>
      <c r="AC393" s="310" t="e">
        <f t="shared" ca="1" si="199"/>
        <v>#N/A</v>
      </c>
      <c r="AD393" s="323" t="e">
        <f t="shared" ca="1" si="200"/>
        <v>#N/A</v>
      </c>
      <c r="AE393" s="324">
        <f t="shared" ca="1" si="179"/>
        <v>430.86567872127489</v>
      </c>
      <c r="AG393" s="306">
        <f t="shared" ca="1" si="201"/>
        <v>32.496153723485818</v>
      </c>
      <c r="AH393" s="304">
        <f t="shared" ca="1" si="202"/>
        <v>41.994516936267154</v>
      </c>
    </row>
    <row r="394" spans="1:34" x14ac:dyDescent="0.25">
      <c r="A394" s="347">
        <f t="shared" ca="1" si="180"/>
        <v>0.01</v>
      </c>
      <c r="B394" s="304">
        <f t="shared" ca="1" si="181"/>
        <v>3.8999999999999608</v>
      </c>
      <c r="D394" s="306">
        <f t="shared" ca="1" si="182"/>
        <v>10.474153677800787</v>
      </c>
      <c r="E394" s="307">
        <f t="shared" ca="1" si="183"/>
        <v>30.727417542287029</v>
      </c>
      <c r="F394" s="304">
        <f t="shared" ca="1" si="184"/>
        <v>32.463550084429095</v>
      </c>
      <c r="G394" s="306">
        <f t="shared" ca="1" si="185"/>
        <v>51.401086705757187</v>
      </c>
      <c r="H394" s="307">
        <f t="shared" ca="1" si="186"/>
        <v>198.83609344560119</v>
      </c>
      <c r="I394" s="304">
        <f t="shared" ca="1" si="187"/>
        <v>205.37250003649615</v>
      </c>
      <c r="J394" s="306">
        <f t="shared" ca="1" si="188"/>
        <v>102.62153451211239</v>
      </c>
      <c r="K394" s="307">
        <f t="shared" ca="1" si="189"/>
        <v>432.85250328485381</v>
      </c>
      <c r="L394" s="304">
        <f t="shared" ca="1" si="174"/>
        <v>444.85106377931146</v>
      </c>
      <c r="M394" s="306">
        <f t="shared" ca="1" si="190"/>
        <v>1.3178245777257971</v>
      </c>
      <c r="N394" s="304">
        <f t="shared" ca="1" si="191"/>
        <v>75.505786442298088</v>
      </c>
      <c r="P394" s="310">
        <f t="shared" ca="1" si="192"/>
        <v>13</v>
      </c>
      <c r="Q394" s="304">
        <f t="shared" ca="1" si="193"/>
        <v>638.59000000000538</v>
      </c>
      <c r="R394" s="306">
        <f t="shared" ca="1" si="194"/>
        <v>0.31989033247540377</v>
      </c>
      <c r="S394" s="307">
        <f t="shared" ca="1" si="195"/>
        <v>12.56161691693443</v>
      </c>
      <c r="T394" s="304">
        <f t="shared" ca="1" si="175"/>
        <v>123.22946195512677</v>
      </c>
      <c r="U394" s="311">
        <f t="shared" ca="1" si="176"/>
        <v>0</v>
      </c>
      <c r="V394" s="306">
        <f t="shared" ca="1" si="177"/>
        <v>1.1730988455783447</v>
      </c>
      <c r="W394" s="304">
        <f t="shared" ca="1" si="178"/>
        <v>112.98462015103249</v>
      </c>
      <c r="Y394" s="314" t="str">
        <f t="shared" ca="1" si="196"/>
        <v/>
      </c>
      <c r="Z394" s="315" t="str">
        <f t="shared" ca="1" si="197"/>
        <v/>
      </c>
      <c r="AA394" s="316" t="str">
        <f t="shared" ca="1" si="198"/>
        <v/>
      </c>
      <c r="AC394" s="310" t="e">
        <f t="shared" ca="1" si="199"/>
        <v>#N/A</v>
      </c>
      <c r="AD394" s="323" t="e">
        <f t="shared" ca="1" si="200"/>
        <v>#N/A</v>
      </c>
      <c r="AE394" s="324">
        <f t="shared" ca="1" si="179"/>
        <v>432.85250328485381</v>
      </c>
      <c r="AG394" s="306">
        <f t="shared" ca="1" si="201"/>
        <v>32.370655105746835</v>
      </c>
      <c r="AH394" s="304">
        <f t="shared" ca="1" si="202"/>
        <v>41.868724798635888</v>
      </c>
    </row>
    <row r="395" spans="1:34" x14ac:dyDescent="0.25">
      <c r="A395" s="347">
        <f t="shared" ca="1" si="180"/>
        <v>0.01</v>
      </c>
      <c r="B395" s="304">
        <f t="shared" ca="1" si="181"/>
        <v>3.9099999999999606</v>
      </c>
      <c r="D395" s="306">
        <f t="shared" ca="1" si="182"/>
        <v>10.447512038215397</v>
      </c>
      <c r="E395" s="307">
        <f t="shared" ca="1" si="183"/>
        <v>30.604368898390753</v>
      </c>
      <c r="F395" s="304">
        <f t="shared" ca="1" si="184"/>
        <v>32.338489504883228</v>
      </c>
      <c r="G395" s="306">
        <f t="shared" ca="1" si="185"/>
        <v>51.505561826139342</v>
      </c>
      <c r="H395" s="307">
        <f t="shared" ca="1" si="186"/>
        <v>199.14213713458511</v>
      </c>
      <c r="I395" s="304">
        <f t="shared" ca="1" si="187"/>
        <v>205.69495298027164</v>
      </c>
      <c r="J395" s="306">
        <f t="shared" ca="1" si="188"/>
        <v>103.13606775477187</v>
      </c>
      <c r="K395" s="307">
        <f t="shared" ca="1" si="189"/>
        <v>434.84239443775476</v>
      </c>
      <c r="L395" s="304">
        <f t="shared" ca="1" si="174"/>
        <v>446.90598169220874</v>
      </c>
      <c r="M395" s="306">
        <f t="shared" ca="1" si="190"/>
        <v>1.3177052131707285</v>
      </c>
      <c r="N395" s="304">
        <f t="shared" ca="1" si="191"/>
        <v>75.498947357069198</v>
      </c>
      <c r="P395" s="310">
        <f t="shared" ca="1" si="192"/>
        <v>13</v>
      </c>
      <c r="Q395" s="304">
        <f t="shared" ca="1" si="193"/>
        <v>637.21000000000549</v>
      </c>
      <c r="R395" s="306">
        <f t="shared" ca="1" si="194"/>
        <v>0.31919904595538934</v>
      </c>
      <c r="S395" s="307">
        <f t="shared" ca="1" si="195"/>
        <v>12.558424926474876</v>
      </c>
      <c r="T395" s="304">
        <f t="shared" ca="1" si="175"/>
        <v>123.19814852871853</v>
      </c>
      <c r="U395" s="311">
        <f t="shared" ca="1" si="176"/>
        <v>0</v>
      </c>
      <c r="V395" s="306">
        <f t="shared" ca="1" si="177"/>
        <v>1.1728653250263148</v>
      </c>
      <c r="W395" s="304">
        <f t="shared" ca="1" si="178"/>
        <v>113.31712858472845</v>
      </c>
      <c r="Y395" s="314" t="str">
        <f t="shared" ca="1" si="196"/>
        <v/>
      </c>
      <c r="Z395" s="315" t="str">
        <f t="shared" ca="1" si="197"/>
        <v/>
      </c>
      <c r="AA395" s="316" t="str">
        <f t="shared" ca="1" si="198"/>
        <v/>
      </c>
      <c r="AC395" s="310" t="e">
        <f t="shared" ca="1" si="199"/>
        <v>#N/A</v>
      </c>
      <c r="AD395" s="323" t="e">
        <f t="shared" ca="1" si="200"/>
        <v>#N/A</v>
      </c>
      <c r="AE395" s="324">
        <f t="shared" ca="1" si="179"/>
        <v>434.84239443775476</v>
      </c>
      <c r="AG395" s="306">
        <f t="shared" ca="1" si="201"/>
        <v>32.245147841522126</v>
      </c>
      <c r="AH395" s="304">
        <f t="shared" ca="1" si="202"/>
        <v>41.742924205712633</v>
      </c>
    </row>
    <row r="396" spans="1:34" x14ac:dyDescent="0.25">
      <c r="A396" s="347">
        <f t="shared" ca="1" si="180"/>
        <v>0.01</v>
      </c>
      <c r="B396" s="304">
        <f t="shared" ca="1" si="181"/>
        <v>3.9199999999999604</v>
      </c>
      <c r="D396" s="306">
        <f t="shared" ca="1" si="182"/>
        <v>10.420833874582739</v>
      </c>
      <c r="E396" s="307">
        <f t="shared" ca="1" si="183"/>
        <v>30.48132107157592</v>
      </c>
      <c r="F396" s="304">
        <f t="shared" ca="1" si="184"/>
        <v>32.213424420731016</v>
      </c>
      <c r="G396" s="306">
        <f t="shared" ca="1" si="185"/>
        <v>51.60977016488517</v>
      </c>
      <c r="H396" s="307">
        <f t="shared" ca="1" si="186"/>
        <v>199.44695034530088</v>
      </c>
      <c r="I396" s="304">
        <f t="shared" ca="1" si="187"/>
        <v>206.01615077103344</v>
      </c>
      <c r="J396" s="306">
        <f t="shared" ca="1" si="188"/>
        <v>103.65164441472699</v>
      </c>
      <c r="K396" s="307">
        <f t="shared" ca="1" si="189"/>
        <v>436.8353398751542</v>
      </c>
      <c r="L396" s="304">
        <f t="shared" ca="1" si="174"/>
        <v>448.96411610920364</v>
      </c>
      <c r="M396" s="306">
        <f t="shared" ca="1" si="190"/>
        <v>1.3175859796870728</v>
      </c>
      <c r="N396" s="304">
        <f t="shared" ca="1" si="191"/>
        <v>75.49211578167909</v>
      </c>
      <c r="P396" s="310">
        <f t="shared" ca="1" si="192"/>
        <v>13</v>
      </c>
      <c r="Q396" s="304">
        <f t="shared" ca="1" si="193"/>
        <v>635.8300000000055</v>
      </c>
      <c r="R396" s="306">
        <f t="shared" ca="1" si="194"/>
        <v>0.31850775943537485</v>
      </c>
      <c r="S396" s="307">
        <f t="shared" ca="1" si="195"/>
        <v>12.555239848880522</v>
      </c>
      <c r="T396" s="304">
        <f t="shared" ca="1" si="175"/>
        <v>123.16690291751793</v>
      </c>
      <c r="U396" s="311">
        <f t="shared" ca="1" si="176"/>
        <v>0</v>
      </c>
      <c r="V396" s="306">
        <f t="shared" ca="1" si="177"/>
        <v>1.1726314916230733</v>
      </c>
      <c r="W396" s="304">
        <f t="shared" ca="1" si="178"/>
        <v>113.64863735457497</v>
      </c>
      <c r="Y396" s="314" t="str">
        <f t="shared" ca="1" si="196"/>
        <v/>
      </c>
      <c r="Z396" s="315" t="str">
        <f t="shared" ca="1" si="197"/>
        <v/>
      </c>
      <c r="AA396" s="316" t="str">
        <f t="shared" ca="1" si="198"/>
        <v/>
      </c>
      <c r="AC396" s="310" t="e">
        <f t="shared" ca="1" si="199"/>
        <v>#N/A</v>
      </c>
      <c r="AD396" s="323" t="e">
        <f t="shared" ca="1" si="200"/>
        <v>#N/A</v>
      </c>
      <c r="AE396" s="324">
        <f t="shared" ca="1" si="179"/>
        <v>436.8353398751542</v>
      </c>
      <c r="AG396" s="306">
        <f t="shared" ca="1" si="201"/>
        <v>32.11963263347549</v>
      </c>
      <c r="AH396" s="304">
        <f t="shared" ca="1" si="202"/>
        <v>41.617115857955234</v>
      </c>
    </row>
    <row r="397" spans="1:34" x14ac:dyDescent="0.25">
      <c r="A397" s="347">
        <f t="shared" ca="1" si="180"/>
        <v>0.01</v>
      </c>
      <c r="B397" s="304">
        <f t="shared" ca="1" si="181"/>
        <v>3.9299999999999602</v>
      </c>
      <c r="D397" s="306">
        <f t="shared" ca="1" si="182"/>
        <v>10.394119452395335</v>
      </c>
      <c r="E397" s="307">
        <f t="shared" ca="1" si="183"/>
        <v>30.358274721663456</v>
      </c>
      <c r="F397" s="304">
        <f t="shared" ca="1" si="184"/>
        <v>32.088355571245053</v>
      </c>
      <c r="G397" s="306">
        <f t="shared" ca="1" si="185"/>
        <v>51.713711359409125</v>
      </c>
      <c r="H397" s="307">
        <f t="shared" ca="1" si="186"/>
        <v>199.75053309251751</v>
      </c>
      <c r="I397" s="304">
        <f t="shared" ca="1" si="187"/>
        <v>206.3360933363555</v>
      </c>
      <c r="J397" s="306">
        <f t="shared" ca="1" si="188"/>
        <v>104.16826182234846</v>
      </c>
      <c r="K397" s="307">
        <f t="shared" ca="1" si="189"/>
        <v>438.8313272923433</v>
      </c>
      <c r="L397" s="304">
        <f t="shared" ca="1" si="174"/>
        <v>451.02545447485448</v>
      </c>
      <c r="M397" s="306">
        <f t="shared" ca="1" si="190"/>
        <v>1.3174668762042367</v>
      </c>
      <c r="N397" s="304">
        <f t="shared" ca="1" si="191"/>
        <v>75.485291654787275</v>
      </c>
      <c r="P397" s="310">
        <f t="shared" ca="1" si="192"/>
        <v>13</v>
      </c>
      <c r="Q397" s="304">
        <f t="shared" ca="1" si="193"/>
        <v>634.4500000000055</v>
      </c>
      <c r="R397" s="306">
        <f t="shared" ca="1" si="194"/>
        <v>0.31781647291536036</v>
      </c>
      <c r="S397" s="307">
        <f t="shared" ca="1" si="195"/>
        <v>12.552061684151369</v>
      </c>
      <c r="T397" s="304">
        <f t="shared" ca="1" si="175"/>
        <v>123.13572512152493</v>
      </c>
      <c r="U397" s="311">
        <f t="shared" ca="1" si="176"/>
        <v>0</v>
      </c>
      <c r="V397" s="306">
        <f t="shared" ca="1" si="177"/>
        <v>1.1723973470082611</v>
      </c>
      <c r="W397" s="304">
        <f t="shared" ca="1" si="178"/>
        <v>113.97914027603477</v>
      </c>
      <c r="Y397" s="314" t="str">
        <f t="shared" ca="1" si="196"/>
        <v/>
      </c>
      <c r="Z397" s="315" t="str">
        <f t="shared" ca="1" si="197"/>
        <v/>
      </c>
      <c r="AA397" s="316" t="str">
        <f t="shared" ca="1" si="198"/>
        <v/>
      </c>
      <c r="AC397" s="310" t="e">
        <f t="shared" ca="1" si="199"/>
        <v>#N/A</v>
      </c>
      <c r="AD397" s="323" t="e">
        <f t="shared" ca="1" si="200"/>
        <v>#N/A</v>
      </c>
      <c r="AE397" s="324">
        <f t="shared" ca="1" si="179"/>
        <v>438.8313272923433</v>
      </c>
      <c r="AG397" s="306">
        <f t="shared" ca="1" si="201"/>
        <v>31.994110181733671</v>
      </c>
      <c r="AH397" s="304">
        <f t="shared" ca="1" si="202"/>
        <v>41.49130045329612</v>
      </c>
    </row>
    <row r="398" spans="1:34" x14ac:dyDescent="0.25">
      <c r="A398" s="347">
        <f t="shared" ca="1" si="180"/>
        <v>0.01</v>
      </c>
      <c r="B398" s="304">
        <f t="shared" ca="1" si="181"/>
        <v>3.93999999999996</v>
      </c>
      <c r="D398" s="306">
        <f t="shared" ca="1" si="182"/>
        <v>10.367369036027741</v>
      </c>
      <c r="E398" s="307">
        <f t="shared" ca="1" si="183"/>
        <v>30.235230506098844</v>
      </c>
      <c r="F398" s="304">
        <f t="shared" ca="1" si="184"/>
        <v>31.963283693733924</v>
      </c>
      <c r="G398" s="306">
        <f t="shared" ca="1" si="185"/>
        <v>51.817385049769399</v>
      </c>
      <c r="H398" s="307">
        <f t="shared" ca="1" si="186"/>
        <v>200.05288539757851</v>
      </c>
      <c r="I398" s="304">
        <f t="shared" ca="1" si="187"/>
        <v>206.65478061078758</v>
      </c>
      <c r="J398" s="306">
        <f t="shared" ca="1" si="188"/>
        <v>104.68591730439435</v>
      </c>
      <c r="K398" s="307">
        <f t="shared" ca="1" si="189"/>
        <v>440.83034438479376</v>
      </c>
      <c r="L398" s="304">
        <f t="shared" ca="1" si="174"/>
        <v>453.08998423302006</v>
      </c>
      <c r="M398" s="306">
        <f t="shared" ca="1" si="190"/>
        <v>1.3173479016584342</v>
      </c>
      <c r="N398" s="304">
        <f t="shared" ca="1" si="191"/>
        <v>75.4784749154433</v>
      </c>
      <c r="P398" s="310">
        <f t="shared" ca="1" si="192"/>
        <v>13</v>
      </c>
      <c r="Q398" s="304">
        <f t="shared" ca="1" si="193"/>
        <v>633.07000000000551</v>
      </c>
      <c r="R398" s="306">
        <f t="shared" ca="1" si="194"/>
        <v>0.31712518639534587</v>
      </c>
      <c r="S398" s="307">
        <f t="shared" ca="1" si="195"/>
        <v>12.548890432287415</v>
      </c>
      <c r="T398" s="304">
        <f t="shared" ca="1" si="175"/>
        <v>123.10461514073954</v>
      </c>
      <c r="U398" s="311">
        <f t="shared" ca="1" si="176"/>
        <v>0</v>
      </c>
      <c r="V398" s="306">
        <f t="shared" ca="1" si="177"/>
        <v>1.172162892820573</v>
      </c>
      <c r="W398" s="304">
        <f t="shared" ca="1" si="178"/>
        <v>114.30863120554268</v>
      </c>
      <c r="Y398" s="314" t="str">
        <f t="shared" ca="1" si="196"/>
        <v/>
      </c>
      <c r="Z398" s="315" t="str">
        <f t="shared" ca="1" si="197"/>
        <v/>
      </c>
      <c r="AA398" s="316" t="str">
        <f t="shared" ca="1" si="198"/>
        <v/>
      </c>
      <c r="AC398" s="310" t="e">
        <f t="shared" ca="1" si="199"/>
        <v>#N/A</v>
      </c>
      <c r="AD398" s="323" t="e">
        <f t="shared" ca="1" si="200"/>
        <v>#N/A</v>
      </c>
      <c r="AE398" s="324">
        <f t="shared" ca="1" si="179"/>
        <v>440.83034438479376</v>
      </c>
      <c r="AG398" s="306">
        <f t="shared" ca="1" si="201"/>
        <v>31.868581183878639</v>
      </c>
      <c r="AH398" s="304">
        <f t="shared" ca="1" si="202"/>
        <v>41.36547868713447</v>
      </c>
    </row>
    <row r="399" spans="1:34" x14ac:dyDescent="0.25">
      <c r="A399" s="347">
        <f t="shared" ca="1" si="180"/>
        <v>0.01</v>
      </c>
      <c r="B399" s="304">
        <f t="shared" ca="1" si="181"/>
        <v>3.9499999999999598</v>
      </c>
      <c r="D399" s="306">
        <f t="shared" ca="1" si="182"/>
        <v>10.340582888739444</v>
      </c>
      <c r="E399" s="307">
        <f t="shared" ca="1" si="183"/>
        <v>30.112189079943917</v>
      </c>
      <c r="F399" s="304">
        <f t="shared" ca="1" si="184"/>
        <v>31.838209523545522</v>
      </c>
      <c r="G399" s="306">
        <f t="shared" ca="1" si="185"/>
        <v>51.920790878656796</v>
      </c>
      <c r="H399" s="307">
        <f t="shared" ca="1" si="186"/>
        <v>200.35400728837794</v>
      </c>
      <c r="I399" s="304">
        <f t="shared" ca="1" si="187"/>
        <v>206.97221253582958</v>
      </c>
      <c r="J399" s="306">
        <f t="shared" ca="1" si="188"/>
        <v>105.20460818403649</v>
      </c>
      <c r="K399" s="307">
        <f t="shared" ca="1" si="189"/>
        <v>442.83237884822353</v>
      </c>
      <c r="L399" s="304">
        <f t="shared" ca="1" si="174"/>
        <v>455.15769282692918</v>
      </c>
      <c r="M399" s="306">
        <f t="shared" ca="1" si="190"/>
        <v>1.3172290549926124</v>
      </c>
      <c r="N399" s="304">
        <f t="shared" ca="1" si="191"/>
        <v>75.471665503082519</v>
      </c>
      <c r="P399" s="310">
        <f t="shared" ca="1" si="192"/>
        <v>13</v>
      </c>
      <c r="Q399" s="304">
        <f t="shared" ca="1" si="193"/>
        <v>631.69000000000551</v>
      </c>
      <c r="R399" s="306">
        <f t="shared" ca="1" si="194"/>
        <v>0.31643389987533138</v>
      </c>
      <c r="S399" s="307">
        <f t="shared" ca="1" si="195"/>
        <v>12.545726093288662</v>
      </c>
      <c r="T399" s="304">
        <f t="shared" ca="1" si="175"/>
        <v>123.07357297516178</v>
      </c>
      <c r="U399" s="311">
        <f t="shared" ca="1" si="176"/>
        <v>0</v>
      </c>
      <c r="V399" s="306">
        <f t="shared" ca="1" si="177"/>
        <v>1.1719281306977447</v>
      </c>
      <c r="W399" s="304">
        <f t="shared" ca="1" si="178"/>
        <v>114.6371040405117</v>
      </c>
      <c r="Y399" s="314" t="str">
        <f t="shared" ca="1" si="196"/>
        <v/>
      </c>
      <c r="Z399" s="315" t="str">
        <f t="shared" ca="1" si="197"/>
        <v/>
      </c>
      <c r="AA399" s="316" t="str">
        <f t="shared" ca="1" si="198"/>
        <v/>
      </c>
      <c r="AC399" s="310" t="e">
        <f t="shared" ca="1" si="199"/>
        <v>#N/A</v>
      </c>
      <c r="AD399" s="323" t="e">
        <f t="shared" ca="1" si="200"/>
        <v>#N/A</v>
      </c>
      <c r="AE399" s="324">
        <f t="shared" ca="1" si="179"/>
        <v>442.83237884822353</v>
      </c>
      <c r="AG399" s="306">
        <f t="shared" ca="1" si="201"/>
        <v>31.743046334940065</v>
      </c>
      <c r="AH399" s="304">
        <f t="shared" ca="1" si="202"/>
        <v>41.239651252328557</v>
      </c>
    </row>
    <row r="400" spans="1:34" x14ac:dyDescent="0.25">
      <c r="A400" s="347">
        <f t="shared" ca="1" si="180"/>
        <v>0.01</v>
      </c>
      <c r="B400" s="304">
        <f t="shared" ca="1" si="181"/>
        <v>3.9599999999999596</v>
      </c>
      <c r="D400" s="306">
        <f t="shared" ca="1" si="182"/>
        <v>10.313761272677775</v>
      </c>
      <c r="E400" s="307">
        <f t="shared" ca="1" si="183"/>
        <v>29.989151095868891</v>
      </c>
      <c r="F400" s="304">
        <f t="shared" ca="1" si="184"/>
        <v>31.713133794070906</v>
      </c>
      <c r="G400" s="306">
        <f t="shared" ca="1" si="185"/>
        <v>52.023928491383572</v>
      </c>
      <c r="H400" s="307">
        <f t="shared" ca="1" si="186"/>
        <v>200.65389879933664</v>
      </c>
      <c r="I400" s="304">
        <f t="shared" ca="1" si="187"/>
        <v>207.28838905990617</v>
      </c>
      <c r="J400" s="306">
        <f t="shared" ca="1" si="188"/>
        <v>105.72433178088669</v>
      </c>
      <c r="K400" s="307">
        <f t="shared" ca="1" si="189"/>
        <v>444.83741837866211</v>
      </c>
      <c r="L400" s="304">
        <f t="shared" ca="1" si="174"/>
        <v>457.22856769925022</v>
      </c>
      <c r="M400" s="306">
        <f t="shared" ca="1" si="190"/>
        <v>1.31711033515638</v>
      </c>
      <c r="N400" s="304">
        <f t="shared" ca="1" si="191"/>
        <v>75.464863357521907</v>
      </c>
      <c r="P400" s="310">
        <f t="shared" ca="1" si="192"/>
        <v>13</v>
      </c>
      <c r="Q400" s="304">
        <f t="shared" ca="1" si="193"/>
        <v>630.31000000000563</v>
      </c>
      <c r="R400" s="306">
        <f t="shared" ca="1" si="194"/>
        <v>0.31574261335531695</v>
      </c>
      <c r="S400" s="307">
        <f t="shared" ca="1" si="195"/>
        <v>12.542568667155109</v>
      </c>
      <c r="T400" s="304">
        <f t="shared" ca="1" si="175"/>
        <v>123.04259862479162</v>
      </c>
      <c r="U400" s="311">
        <f t="shared" ca="1" si="176"/>
        <v>0</v>
      </c>
      <c r="V400" s="306">
        <f t="shared" ca="1" si="177"/>
        <v>1.1716930622765427</v>
      </c>
      <c r="W400" s="304">
        <f t="shared" ca="1" si="178"/>
        <v>114.96455271933847</v>
      </c>
      <c r="Y400" s="314" t="str">
        <f t="shared" ca="1" si="196"/>
        <v/>
      </c>
      <c r="Z400" s="315" t="str">
        <f t="shared" ca="1" si="197"/>
        <v/>
      </c>
      <c r="AA400" s="316" t="str">
        <f t="shared" ca="1" si="198"/>
        <v/>
      </c>
      <c r="AC400" s="310" t="e">
        <f t="shared" ca="1" si="199"/>
        <v>#N/A</v>
      </c>
      <c r="AD400" s="323" t="e">
        <f t="shared" ca="1" si="200"/>
        <v>#N/A</v>
      </c>
      <c r="AE400" s="324">
        <f t="shared" ca="1" si="179"/>
        <v>444.83741837866211</v>
      </c>
      <c r="AG400" s="306">
        <f t="shared" ca="1" si="201"/>
        <v>31.61750632738795</v>
      </c>
      <c r="AH400" s="304">
        <f t="shared" ca="1" si="202"/>
        <v>41.113818839188241</v>
      </c>
    </row>
    <row r="401" spans="1:34" x14ac:dyDescent="0.25">
      <c r="A401" s="347">
        <f t="shared" ca="1" si="180"/>
        <v>0.01</v>
      </c>
      <c r="B401" s="304">
        <f t="shared" ca="1" si="181"/>
        <v>3.9699999999999593</v>
      </c>
      <c r="D401" s="306">
        <f t="shared" ca="1" si="182"/>
        <v>10.286904448880726</v>
      </c>
      <c r="E401" s="307">
        <f t="shared" ca="1" si="183"/>
        <v>29.866117204144366</v>
      </c>
      <c r="F401" s="304">
        <f t="shared" ca="1" si="184"/>
        <v>31.588057236748355</v>
      </c>
      <c r="G401" s="306">
        <f t="shared" ca="1" si="185"/>
        <v>52.126797535872377</v>
      </c>
      <c r="H401" s="307">
        <f t="shared" ca="1" si="186"/>
        <v>200.95255997137809</v>
      </c>
      <c r="I401" s="304">
        <f t="shared" ca="1" si="187"/>
        <v>207.60331013834085</v>
      </c>
      <c r="J401" s="306">
        <f t="shared" ca="1" si="188"/>
        <v>106.24508541102297</v>
      </c>
      <c r="K401" s="307">
        <f t="shared" ca="1" si="189"/>
        <v>446.84545067251565</v>
      </c>
      <c r="L401" s="304">
        <f t="shared" ca="1" si="174"/>
        <v>459.30259629216033</v>
      </c>
      <c r="M401" s="306">
        <f t="shared" ca="1" si="190"/>
        <v>1.3169917411059342</v>
      </c>
      <c r="N401" s="304">
        <f t="shared" ca="1" si="191"/>
        <v>75.458068418956003</v>
      </c>
      <c r="P401" s="310">
        <f t="shared" ca="1" si="192"/>
        <v>13</v>
      </c>
      <c r="Q401" s="304">
        <f t="shared" ca="1" si="193"/>
        <v>628.93000000000563</v>
      </c>
      <c r="R401" s="306">
        <f t="shared" ca="1" si="194"/>
        <v>0.31505132683530246</v>
      </c>
      <c r="S401" s="307">
        <f t="shared" ca="1" si="195"/>
        <v>12.539418153886755</v>
      </c>
      <c r="T401" s="304">
        <f t="shared" ca="1" si="175"/>
        <v>123.01169208962908</v>
      </c>
      <c r="U401" s="311">
        <f t="shared" ca="1" si="176"/>
        <v>0</v>
      </c>
      <c r="V401" s="306">
        <f t="shared" ca="1" si="177"/>
        <v>1.1714576891927524</v>
      </c>
      <c r="W401" s="304">
        <f t="shared" ca="1" si="178"/>
        <v>115.29097122140629</v>
      </c>
      <c r="Y401" s="314" t="str">
        <f t="shared" ca="1" si="196"/>
        <v/>
      </c>
      <c r="Z401" s="315" t="str">
        <f t="shared" ca="1" si="197"/>
        <v/>
      </c>
      <c r="AA401" s="316" t="str">
        <f t="shared" ca="1" si="198"/>
        <v/>
      </c>
      <c r="AC401" s="310" t="e">
        <f t="shared" ca="1" si="199"/>
        <v>#N/A</v>
      </c>
      <c r="AD401" s="323" t="e">
        <f t="shared" ca="1" si="200"/>
        <v>#N/A</v>
      </c>
      <c r="AE401" s="324">
        <f t="shared" ca="1" si="179"/>
        <v>446.84545067251565</v>
      </c>
      <c r="AG401" s="306">
        <f t="shared" ca="1" si="201"/>
        <v>31.491961851125268</v>
      </c>
      <c r="AH401" s="304">
        <f t="shared" ca="1" si="202"/>
        <v>40.987982135467497</v>
      </c>
    </row>
    <row r="402" spans="1:34" x14ac:dyDescent="0.25">
      <c r="A402" s="347">
        <f t="shared" ca="1" si="180"/>
        <v>0.01</v>
      </c>
      <c r="B402" s="304">
        <f t="shared" ca="1" si="181"/>
        <v>3.9799999999999591</v>
      </c>
      <c r="D402" s="306">
        <f t="shared" ca="1" si="182"/>
        <v>10.26001267727978</v>
      </c>
      <c r="E402" s="307">
        <f t="shared" ca="1" si="183"/>
        <v>29.743088052633588</v>
      </c>
      <c r="F402" s="304">
        <f t="shared" ca="1" si="184"/>
        <v>31.462980581067914</v>
      </c>
      <c r="G402" s="306">
        <f t="shared" ca="1" si="185"/>
        <v>52.229397662645177</v>
      </c>
      <c r="H402" s="307">
        <f t="shared" ca="1" si="186"/>
        <v>201.24999085190444</v>
      </c>
      <c r="I402" s="304">
        <f t="shared" ca="1" si="187"/>
        <v>207.9169757333305</v>
      </c>
      <c r="J402" s="306">
        <f t="shared" ca="1" si="188"/>
        <v>106.76686638701555</v>
      </c>
      <c r="K402" s="307">
        <f t="shared" ca="1" si="189"/>
        <v>448.85646342663205</v>
      </c>
      <c r="L402" s="304">
        <f t="shared" ca="1" si="174"/>
        <v>461.3797660474138</v>
      </c>
      <c r="M402" s="306">
        <f t="shared" ca="1" si="190"/>
        <v>1.3168732718039922</v>
      </c>
      <c r="N402" s="304">
        <f t="shared" ca="1" si="191"/>
        <v>75.451280627952869</v>
      </c>
      <c r="P402" s="310">
        <f t="shared" ca="1" si="192"/>
        <v>13</v>
      </c>
      <c r="Q402" s="304">
        <f t="shared" ca="1" si="193"/>
        <v>627.55000000000564</v>
      </c>
      <c r="R402" s="306">
        <f t="shared" ca="1" si="194"/>
        <v>0.31436004031528797</v>
      </c>
      <c r="S402" s="307">
        <f t="shared" ca="1" si="195"/>
        <v>12.536274553483603</v>
      </c>
      <c r="T402" s="304">
        <f t="shared" ca="1" si="175"/>
        <v>122.98085336967415</v>
      </c>
      <c r="U402" s="311">
        <f t="shared" ca="1" si="176"/>
        <v>0</v>
      </c>
      <c r="V402" s="306">
        <f t="shared" ca="1" si="177"/>
        <v>1.1712220130811672</v>
      </c>
      <c r="W402" s="304">
        <f t="shared" ca="1" si="178"/>
        <v>115.61635356708794</v>
      </c>
      <c r="Y402" s="314" t="str">
        <f t="shared" ca="1" si="196"/>
        <v/>
      </c>
      <c r="Z402" s="315" t="str">
        <f t="shared" ca="1" si="197"/>
        <v/>
      </c>
      <c r="AA402" s="316" t="str">
        <f t="shared" ca="1" si="198"/>
        <v/>
      </c>
      <c r="AC402" s="310" t="e">
        <f t="shared" ca="1" si="199"/>
        <v>#N/A</v>
      </c>
      <c r="AD402" s="323" t="e">
        <f t="shared" ca="1" si="200"/>
        <v>#N/A</v>
      </c>
      <c r="AE402" s="324">
        <f t="shared" ca="1" si="179"/>
        <v>448.85646342663205</v>
      </c>
      <c r="AG402" s="306">
        <f t="shared" ca="1" si="201"/>
        <v>31.366413593480861</v>
      </c>
      <c r="AH402" s="304">
        <f t="shared" ca="1" si="202"/>
        <v>40.862141826357167</v>
      </c>
    </row>
    <row r="403" spans="1:34" x14ac:dyDescent="0.25">
      <c r="A403" s="347">
        <f t="shared" ca="1" si="180"/>
        <v>0.01</v>
      </c>
      <c r="B403" s="304">
        <f t="shared" ca="1" si="181"/>
        <v>3.9899999999999589</v>
      </c>
      <c r="D403" s="306">
        <f t="shared" ca="1" si="182"/>
        <v>10.233086216702597</v>
      </c>
      <c r="E403" s="307">
        <f t="shared" ca="1" si="183"/>
        <v>29.620064286784796</v>
      </c>
      <c r="F403" s="304">
        <f t="shared" ca="1" si="184"/>
        <v>31.33790455457628</v>
      </c>
      <c r="G403" s="306">
        <f t="shared" ca="1" si="185"/>
        <v>52.331728524812199</v>
      </c>
      <c r="H403" s="307">
        <f t="shared" ca="1" si="186"/>
        <v>201.5461914947723</v>
      </c>
      <c r="I403" s="304">
        <f t="shared" ca="1" si="187"/>
        <v>208.22938581391932</v>
      </c>
      <c r="J403" s="306">
        <f t="shared" ca="1" si="188"/>
        <v>107.28967201795284</v>
      </c>
      <c r="K403" s="307">
        <f t="shared" ca="1" si="189"/>
        <v>450.87044433836542</v>
      </c>
      <c r="L403" s="304">
        <f t="shared" ca="1" si="174"/>
        <v>463.46006440641139</v>
      </c>
      <c r="M403" s="306">
        <f t="shared" ca="1" si="190"/>
        <v>1.3167549262197189</v>
      </c>
      <c r="N403" s="304">
        <f t="shared" ca="1" si="191"/>
        <v>75.444499925449989</v>
      </c>
      <c r="P403" s="310">
        <f t="shared" ca="1" si="192"/>
        <v>13</v>
      </c>
      <c r="Q403" s="304">
        <f t="shared" ca="1" si="193"/>
        <v>626.17000000000564</v>
      </c>
      <c r="R403" s="306">
        <f t="shared" ca="1" si="194"/>
        <v>0.31366875379527348</v>
      </c>
      <c r="S403" s="307">
        <f t="shared" ca="1" si="195"/>
        <v>12.533137865945649</v>
      </c>
      <c r="T403" s="304">
        <f t="shared" ca="1" si="175"/>
        <v>122.95008246492682</v>
      </c>
      <c r="U403" s="311">
        <f t="shared" ca="1" si="176"/>
        <v>0</v>
      </c>
      <c r="V403" s="306">
        <f t="shared" ca="1" si="177"/>
        <v>1.1709860355755761</v>
      </c>
      <c r="W403" s="304">
        <f t="shared" ca="1" si="178"/>
        <v>115.94069381774588</v>
      </c>
      <c r="Y403" s="314" t="str">
        <f t="shared" ca="1" si="196"/>
        <v/>
      </c>
      <c r="Z403" s="315" t="str">
        <f t="shared" ca="1" si="197"/>
        <v/>
      </c>
      <c r="AA403" s="316" t="str">
        <f t="shared" ca="1" si="198"/>
        <v/>
      </c>
      <c r="AC403" s="310" t="e">
        <f t="shared" ca="1" si="199"/>
        <v>#N/A</v>
      </c>
      <c r="AD403" s="323" t="e">
        <f t="shared" ca="1" si="200"/>
        <v>#N/A</v>
      </c>
      <c r="AE403" s="324">
        <f t="shared" ca="1" si="179"/>
        <v>450.87044433836542</v>
      </c>
      <c r="AG403" s="306">
        <f t="shared" ca="1" si="201"/>
        <v>31.240862239202343</v>
      </c>
      <c r="AH403" s="304">
        <f t="shared" ca="1" si="202"/>
        <v>40.736298594477759</v>
      </c>
    </row>
    <row r="404" spans="1:34" x14ac:dyDescent="0.25">
      <c r="A404" s="347">
        <f t="shared" ca="1" si="180"/>
        <v>0.01</v>
      </c>
      <c r="B404" s="304">
        <f t="shared" ca="1" si="181"/>
        <v>3.9999999999999587</v>
      </c>
      <c r="D404" s="306">
        <f t="shared" ca="1" si="182"/>
        <v>10.206125324875792</v>
      </c>
      <c r="E404" s="307">
        <f t="shared" ca="1" si="183"/>
        <v>29.497046549623668</v>
      </c>
      <c r="F404" s="304">
        <f t="shared" ca="1" si="184"/>
        <v>31.21282988288208</v>
      </c>
      <c r="G404" s="306">
        <f t="shared" ca="1" si="185"/>
        <v>52.433789778060955</v>
      </c>
      <c r="H404" s="307">
        <f t="shared" ca="1" si="186"/>
        <v>201.84116196026855</v>
      </c>
      <c r="I404" s="304">
        <f t="shared" ca="1" si="187"/>
        <v>208.54054035597312</v>
      </c>
      <c r="J404" s="306">
        <f t="shared" ca="1" si="188"/>
        <v>107.8134996094672</v>
      </c>
      <c r="K404" s="307">
        <f t="shared" ca="1" si="189"/>
        <v>452.8873811056406</v>
      </c>
      <c r="L404" s="304">
        <f t="shared" ca="1" si="174"/>
        <v>465.54347881026791</v>
      </c>
      <c r="M404" s="306">
        <f t="shared" ca="1" si="190"/>
        <v>1.3166367033286595</v>
      </c>
      <c r="N404" s="304">
        <f t="shared" ca="1" si="191"/>
        <v>75.437726252750451</v>
      </c>
      <c r="P404" s="310">
        <f t="shared" ca="1" si="192"/>
        <v>13</v>
      </c>
      <c r="Q404" s="304">
        <f t="shared" ca="1" si="193"/>
        <v>624.79000000000565</v>
      </c>
      <c r="R404" s="306">
        <f t="shared" ca="1" si="194"/>
        <v>0.31297746727525899</v>
      </c>
      <c r="S404" s="307">
        <f t="shared" ca="1" si="195"/>
        <v>12.530008091272897</v>
      </c>
      <c r="T404" s="304">
        <f t="shared" ca="1" si="175"/>
        <v>122.91937937538712</v>
      </c>
      <c r="U404" s="311">
        <f t="shared" ca="1" si="176"/>
        <v>0</v>
      </c>
      <c r="V404" s="306">
        <f t="shared" ca="1" si="177"/>
        <v>1.1707497583087541</v>
      </c>
      <c r="W404" s="304">
        <f t="shared" ca="1" si="178"/>
        <v>116.26398607573212</v>
      </c>
      <c r="Y404" s="314" t="str">
        <f t="shared" ca="1" si="196"/>
        <v/>
      </c>
      <c r="Z404" s="315" t="str">
        <f t="shared" ca="1" si="197"/>
        <v/>
      </c>
      <c r="AA404" s="316" t="str">
        <f t="shared" ca="1" si="198"/>
        <v/>
      </c>
      <c r="AC404" s="310">
        <f t="shared" ca="1" si="199"/>
        <v>3.9999999999999587</v>
      </c>
      <c r="AD404" s="323">
        <f t="shared" ca="1" si="200"/>
        <v>107.8134996094672</v>
      </c>
      <c r="AE404" s="324">
        <f t="shared" ca="1" si="179"/>
        <v>452.8873811056406</v>
      </c>
      <c r="AG404" s="306">
        <f t="shared" ca="1" si="201"/>
        <v>31.115308470449186</v>
      </c>
      <c r="AH404" s="304">
        <f t="shared" ca="1" si="202"/>
        <v>40.610453119872389</v>
      </c>
    </row>
    <row r="405" spans="1:34" x14ac:dyDescent="0.25">
      <c r="A405" s="347">
        <f t="shared" ca="1" si="180"/>
        <v>0.01</v>
      </c>
      <c r="B405" s="304">
        <f t="shared" ca="1" si="181"/>
        <v>4.0099999999999589</v>
      </c>
      <c r="D405" s="306">
        <f t="shared" ca="1" si="182"/>
        <v>10.170096298551087</v>
      </c>
      <c r="E405" s="307">
        <f t="shared" ca="1" si="183"/>
        <v>29.339259720423151</v>
      </c>
      <c r="F405" s="304">
        <f t="shared" ca="1" si="184"/>
        <v>31.051940674686453</v>
      </c>
      <c r="G405" s="306">
        <f t="shared" ca="1" si="185"/>
        <v>52.535490741046466</v>
      </c>
      <c r="H405" s="307">
        <f t="shared" ca="1" si="186"/>
        <v>202.13455455747277</v>
      </c>
      <c r="I405" s="304">
        <f t="shared" ca="1" si="187"/>
        <v>208.85008004200171</v>
      </c>
      <c r="J405" s="306">
        <f t="shared" ca="1" si="188"/>
        <v>108.33834601206274</v>
      </c>
      <c r="K405" s="307">
        <f t="shared" ca="1" si="189"/>
        <v>454.90725968822932</v>
      </c>
      <c r="L405" s="304">
        <f t="shared" ca="1" si="174"/>
        <v>467.62999490375245</v>
      </c>
      <c r="M405" s="306">
        <f t="shared" ca="1" si="190"/>
        <v>1.3165186019094928</v>
      </c>
      <c r="N405" s="304">
        <f t="shared" ca="1" si="191"/>
        <v>75.430959539877705</v>
      </c>
      <c r="P405" s="310">
        <f t="shared" ca="1" si="192"/>
        <v>14</v>
      </c>
      <c r="Q405" s="304">
        <f t="shared" ca="1" si="193"/>
        <v>622.96000000000936</v>
      </c>
      <c r="R405" s="306">
        <f t="shared" ca="1" si="194"/>
        <v>0.31206076123785031</v>
      </c>
      <c r="S405" s="307">
        <f t="shared" ca="1" si="195"/>
        <v>12.526887483660518</v>
      </c>
      <c r="T405" s="304">
        <f t="shared" ca="1" si="175"/>
        <v>122.88876621470969</v>
      </c>
      <c r="U405" s="311">
        <f t="shared" ca="1" si="176"/>
        <v>0</v>
      </c>
      <c r="V405" s="306">
        <f t="shared" ca="1" si="177"/>
        <v>1.170513183116082</v>
      </c>
      <c r="W405" s="304">
        <f t="shared" ca="1" si="178"/>
        <v>116.58582336199206</v>
      </c>
      <c r="Y405" s="314" t="str">
        <f t="shared" ca="1" si="196"/>
        <v/>
      </c>
      <c r="Z405" s="315" t="str">
        <f t="shared" ca="1" si="197"/>
        <v/>
      </c>
      <c r="AA405" s="316" t="str">
        <f t="shared" ca="1" si="198"/>
        <v/>
      </c>
      <c r="AC405" s="310" t="e">
        <f t="shared" ca="1" si="199"/>
        <v>#N/A</v>
      </c>
      <c r="AD405" s="323" t="e">
        <f t="shared" ca="1" si="200"/>
        <v>#N/A</v>
      </c>
      <c r="AE405" s="324">
        <f t="shared" ca="1" si="179"/>
        <v>454.90725968822932</v>
      </c>
      <c r="AG405" s="306">
        <f t="shared" ca="1" si="201"/>
        <v>30.953822951386087</v>
      </c>
      <c r="AH405" s="304">
        <f t="shared" ca="1" si="202"/>
        <v>40.448676064600058</v>
      </c>
    </row>
    <row r="406" spans="1:34" x14ac:dyDescent="0.25">
      <c r="A406" s="347">
        <f t="shared" ca="1" si="180"/>
        <v>0.01</v>
      </c>
      <c r="B406" s="304">
        <f t="shared" ca="1" si="181"/>
        <v>4.0199999999999587</v>
      </c>
      <c r="D406" s="306">
        <f t="shared" ca="1" si="182"/>
        <v>10.124986595273354</v>
      </c>
      <c r="E406" s="307">
        <f t="shared" ca="1" si="183"/>
        <v>29.146705771036565</v>
      </c>
      <c r="F406" s="304">
        <f t="shared" ca="1" si="184"/>
        <v>30.855239601368215</v>
      </c>
      <c r="G406" s="306">
        <f t="shared" ca="1" si="185"/>
        <v>52.636740606999197</v>
      </c>
      <c r="H406" s="307">
        <f t="shared" ca="1" si="186"/>
        <v>202.42602161518315</v>
      </c>
      <c r="I406" s="304">
        <f t="shared" ca="1" si="187"/>
        <v>209.15764554201482</v>
      </c>
      <c r="J406" s="306">
        <f t="shared" ca="1" si="188"/>
        <v>108.86420716880298</v>
      </c>
      <c r="K406" s="307">
        <f t="shared" ca="1" si="189"/>
        <v>456.93006256909257</v>
      </c>
      <c r="L406" s="304">
        <f t="shared" ca="1" si="174"/>
        <v>469.71959473912398</v>
      </c>
      <c r="M406" s="306">
        <f t="shared" ca="1" si="190"/>
        <v>1.316400620545884</v>
      </c>
      <c r="N406" s="304">
        <f t="shared" ca="1" si="191"/>
        <v>75.424199705681715</v>
      </c>
      <c r="P406" s="310">
        <f t="shared" ca="1" si="192"/>
        <v>14</v>
      </c>
      <c r="Q406" s="304">
        <f t="shared" ca="1" si="193"/>
        <v>620.68000000000939</v>
      </c>
      <c r="R406" s="306">
        <f t="shared" ca="1" si="194"/>
        <v>0.31091863568304379</v>
      </c>
      <c r="S406" s="307">
        <f t="shared" ca="1" si="195"/>
        <v>12.523778297303688</v>
      </c>
      <c r="T406" s="304">
        <f t="shared" ca="1" si="175"/>
        <v>122.85826509654918</v>
      </c>
      <c r="U406" s="311">
        <f t="shared" ca="1" si="176"/>
        <v>0</v>
      </c>
      <c r="V406" s="306">
        <f t="shared" ca="1" si="177"/>
        <v>1.1702763122389204</v>
      </c>
      <c r="W406" s="304">
        <f t="shared" ca="1" si="178"/>
        <v>116.90579671587348</v>
      </c>
      <c r="Y406" s="314" t="str">
        <f t="shared" ca="1" si="196"/>
        <v/>
      </c>
      <c r="Z406" s="315" t="str">
        <f t="shared" ca="1" si="197"/>
        <v/>
      </c>
      <c r="AA406" s="316" t="str">
        <f t="shared" ca="1" si="198"/>
        <v/>
      </c>
      <c r="AC406" s="310" t="e">
        <f t="shared" ca="1" si="199"/>
        <v>#N/A</v>
      </c>
      <c r="AD406" s="323" t="e">
        <f t="shared" ca="1" si="200"/>
        <v>#N/A</v>
      </c>
      <c r="AE406" s="324">
        <f t="shared" ca="1" si="179"/>
        <v>456.93006256909257</v>
      </c>
      <c r="AG406" s="306">
        <f t="shared" ca="1" si="201"/>
        <v>30.756404431751136</v>
      </c>
      <c r="AH406" s="304">
        <f t="shared" ca="1" si="202"/>
        <v>40.250966175802276</v>
      </c>
    </row>
    <row r="407" spans="1:34" x14ac:dyDescent="0.25">
      <c r="A407" s="347">
        <f t="shared" ca="1" si="180"/>
        <v>0.01</v>
      </c>
      <c r="B407" s="304">
        <f t="shared" ca="1" si="181"/>
        <v>4.0299999999999585</v>
      </c>
      <c r="D407" s="306">
        <f t="shared" ca="1" si="182"/>
        <v>10.079830457333518</v>
      </c>
      <c r="E407" s="307">
        <f t="shared" ca="1" si="183"/>
        <v>28.954177920284401</v>
      </c>
      <c r="F407" s="304">
        <f t="shared" ca="1" si="184"/>
        <v>30.658561627840161</v>
      </c>
      <c r="G407" s="306">
        <f t="shared" ca="1" si="185"/>
        <v>52.737538911572535</v>
      </c>
      <c r="H407" s="307">
        <f t="shared" ca="1" si="186"/>
        <v>202.71556339438598</v>
      </c>
      <c r="I407" s="304">
        <f t="shared" ca="1" si="187"/>
        <v>209.46323699578633</v>
      </c>
      <c r="J407" s="306">
        <f t="shared" ca="1" si="188"/>
        <v>109.39107856639583</v>
      </c>
      <c r="K407" s="307">
        <f t="shared" ca="1" si="189"/>
        <v>458.95577049414044</v>
      </c>
      <c r="L407" s="304">
        <f t="shared" ca="1" si="174"/>
        <v>471.8122585730361</v>
      </c>
      <c r="M407" s="306">
        <f t="shared" ca="1" si="190"/>
        <v>1.3162827578305654</v>
      </c>
      <c r="N407" s="304">
        <f t="shared" ca="1" si="191"/>
        <v>75.417446669532012</v>
      </c>
      <c r="P407" s="310">
        <f t="shared" ca="1" si="192"/>
        <v>14</v>
      </c>
      <c r="Q407" s="304">
        <f t="shared" ca="1" si="193"/>
        <v>618.40000000000941</v>
      </c>
      <c r="R407" s="306">
        <f t="shared" ca="1" si="194"/>
        <v>0.30977651012823726</v>
      </c>
      <c r="S407" s="307">
        <f t="shared" ca="1" si="195"/>
        <v>12.520680532202405</v>
      </c>
      <c r="T407" s="304">
        <f t="shared" ca="1" si="175"/>
        <v>122.82787602090561</v>
      </c>
      <c r="U407" s="311">
        <f t="shared" ca="1" si="176"/>
        <v>0</v>
      </c>
      <c r="V407" s="306">
        <f t="shared" ca="1" si="177"/>
        <v>1.1700391481205357</v>
      </c>
      <c r="W407" s="304">
        <f t="shared" ca="1" si="178"/>
        <v>117.22389757361518</v>
      </c>
      <c r="Y407" s="314" t="str">
        <f t="shared" ca="1" si="196"/>
        <v/>
      </c>
      <c r="Z407" s="315" t="str">
        <f t="shared" ca="1" si="197"/>
        <v/>
      </c>
      <c r="AA407" s="316" t="str">
        <f t="shared" ca="1" si="198"/>
        <v/>
      </c>
      <c r="AC407" s="310" t="e">
        <f t="shared" ca="1" si="199"/>
        <v>#N/A</v>
      </c>
      <c r="AD407" s="323" t="e">
        <f t="shared" ca="1" si="200"/>
        <v>#N/A</v>
      </c>
      <c r="AE407" s="324">
        <f t="shared" ca="1" si="179"/>
        <v>458.95577049414044</v>
      </c>
      <c r="AG407" s="306">
        <f t="shared" ca="1" si="201"/>
        <v>30.558999887970209</v>
      </c>
      <c r="AH407" s="304">
        <f t="shared" ca="1" si="202"/>
        <v>40.053270426820994</v>
      </c>
    </row>
    <row r="408" spans="1:34" x14ac:dyDescent="0.25">
      <c r="A408" s="347">
        <f t="shared" ca="1" si="180"/>
        <v>0.01</v>
      </c>
      <c r="B408" s="304">
        <f t="shared" ca="1" si="181"/>
        <v>4.0399999999999583</v>
      </c>
      <c r="D408" s="306">
        <f t="shared" ca="1" si="182"/>
        <v>10.034628326348997</v>
      </c>
      <c r="E408" s="307">
        <f t="shared" ca="1" si="183"/>
        <v>28.761677340497386</v>
      </c>
      <c r="F408" s="304">
        <f t="shared" ca="1" si="184"/>
        <v>30.461908165557301</v>
      </c>
      <c r="G408" s="306">
        <f t="shared" ca="1" si="185"/>
        <v>52.837885194836026</v>
      </c>
      <c r="H408" s="307">
        <f t="shared" ca="1" si="186"/>
        <v>203.00318016779096</v>
      </c>
      <c r="I408" s="304">
        <f t="shared" ca="1" si="187"/>
        <v>209.76685455547849</v>
      </c>
      <c r="J408" s="306">
        <f t="shared" ca="1" si="188"/>
        <v>109.91895568692787</v>
      </c>
      <c r="K408" s="307">
        <f t="shared" ca="1" si="189"/>
        <v>460.98436421195134</v>
      </c>
      <c r="L408" s="304">
        <f t="shared" ca="1" si="174"/>
        <v>473.90796666357261</v>
      </c>
      <c r="M408" s="306">
        <f t="shared" ca="1" si="190"/>
        <v>1.3161650123652124</v>
      </c>
      <c r="N408" s="304">
        <f t="shared" ca="1" si="191"/>
        <v>75.410700351310481</v>
      </c>
      <c r="P408" s="310">
        <f t="shared" ca="1" si="192"/>
        <v>14</v>
      </c>
      <c r="Q408" s="304">
        <f t="shared" ca="1" si="193"/>
        <v>616.12000000000944</v>
      </c>
      <c r="R408" s="306">
        <f t="shared" ca="1" si="194"/>
        <v>0.30863438457343073</v>
      </c>
      <c r="S408" s="307">
        <f t="shared" ca="1" si="195"/>
        <v>12.517594188356671</v>
      </c>
      <c r="T408" s="304">
        <f t="shared" ca="1" si="175"/>
        <v>122.79759898777895</v>
      </c>
      <c r="U408" s="311">
        <f t="shared" ca="1" si="176"/>
        <v>0</v>
      </c>
      <c r="V408" s="306">
        <f t="shared" ca="1" si="177"/>
        <v>1.1698016932022723</v>
      </c>
      <c r="W408" s="304">
        <f t="shared" ca="1" si="178"/>
        <v>117.54011746170332</v>
      </c>
      <c r="Y408" s="314" t="str">
        <f t="shared" ca="1" si="196"/>
        <v/>
      </c>
      <c r="Z408" s="315" t="str">
        <f t="shared" ca="1" si="197"/>
        <v/>
      </c>
      <c r="AA408" s="316" t="str">
        <f t="shared" ca="1" si="198"/>
        <v/>
      </c>
      <c r="AC408" s="310" t="e">
        <f t="shared" ca="1" si="199"/>
        <v>#N/A</v>
      </c>
      <c r="AD408" s="323" t="e">
        <f t="shared" ca="1" si="200"/>
        <v>#N/A</v>
      </c>
      <c r="AE408" s="324">
        <f t="shared" ca="1" si="179"/>
        <v>460.98436421195134</v>
      </c>
      <c r="AG408" s="306">
        <f t="shared" ca="1" si="201"/>
        <v>30.361610558889648</v>
      </c>
      <c r="AH408" s="304">
        <f t="shared" ca="1" si="202"/>
        <v>39.855590053434227</v>
      </c>
    </row>
    <row r="409" spans="1:34" x14ac:dyDescent="0.25">
      <c r="A409" s="347">
        <f t="shared" ca="1" si="180"/>
        <v>0.01</v>
      </c>
      <c r="B409" s="304">
        <f t="shared" ca="1" si="181"/>
        <v>4.0499999999999581</v>
      </c>
      <c r="D409" s="306">
        <f t="shared" ca="1" si="182"/>
        <v>9.9893806415263402</v>
      </c>
      <c r="E409" s="307">
        <f t="shared" ca="1" si="183"/>
        <v>28.569205198292131</v>
      </c>
      <c r="F409" s="304">
        <f t="shared" ca="1" si="184"/>
        <v>30.26528062423052</v>
      </c>
      <c r="G409" s="306">
        <f t="shared" ca="1" si="185"/>
        <v>52.937779001251293</v>
      </c>
      <c r="H409" s="307">
        <f t="shared" ca="1" si="186"/>
        <v>203.28887221977388</v>
      </c>
      <c r="I409" s="304">
        <f t="shared" ca="1" si="187"/>
        <v>210.06849838558108</v>
      </c>
      <c r="J409" s="306">
        <f t="shared" ca="1" si="188"/>
        <v>110.44783400790831</v>
      </c>
      <c r="K409" s="307">
        <f t="shared" ca="1" si="189"/>
        <v>463.01582447388915</v>
      </c>
      <c r="L409" s="304">
        <f t="shared" ca="1" si="174"/>
        <v>476.00669927037137</v>
      </c>
      <c r="M409" s="306">
        <f t="shared" ca="1" si="190"/>
        <v>1.3160473827603258</v>
      </c>
      <c r="N409" s="304">
        <f t="shared" ca="1" si="191"/>
        <v>75.40396067140469</v>
      </c>
      <c r="P409" s="310">
        <f t="shared" ca="1" si="192"/>
        <v>14</v>
      </c>
      <c r="Q409" s="304">
        <f t="shared" ca="1" si="193"/>
        <v>613.84000000000947</v>
      </c>
      <c r="R409" s="306">
        <f t="shared" ca="1" si="194"/>
        <v>0.3074922590186242</v>
      </c>
      <c r="S409" s="307">
        <f t="shared" ca="1" si="195"/>
        <v>12.514519265766486</v>
      </c>
      <c r="T409" s="304">
        <f t="shared" ca="1" si="175"/>
        <v>122.76743399716923</v>
      </c>
      <c r="U409" s="311">
        <f t="shared" ca="1" si="176"/>
        <v>0</v>
      </c>
      <c r="V409" s="306">
        <f t="shared" ca="1" si="177"/>
        <v>1.1695639499235353</v>
      </c>
      <c r="W409" s="304">
        <f t="shared" ca="1" si="178"/>
        <v>117.8544479967933</v>
      </c>
      <c r="Y409" s="314" t="str">
        <f t="shared" ca="1" si="196"/>
        <v/>
      </c>
      <c r="Z409" s="315" t="str">
        <f t="shared" ca="1" si="197"/>
        <v/>
      </c>
      <c r="AA409" s="316" t="str">
        <f t="shared" ca="1" si="198"/>
        <v/>
      </c>
      <c r="AC409" s="310" t="e">
        <f t="shared" ca="1" si="199"/>
        <v>#N/A</v>
      </c>
      <c r="AD409" s="323" t="e">
        <f t="shared" ca="1" si="200"/>
        <v>#N/A</v>
      </c>
      <c r="AE409" s="324">
        <f t="shared" ca="1" si="179"/>
        <v>463.01582447388915</v>
      </c>
      <c r="AG409" s="306">
        <f t="shared" ca="1" si="201"/>
        <v>30.164237677266158</v>
      </c>
      <c r="AH409" s="304">
        <f t="shared" ca="1" si="202"/>
        <v>39.657926285345724</v>
      </c>
    </row>
    <row r="410" spans="1:34" x14ac:dyDescent="0.25">
      <c r="A410" s="347">
        <f t="shared" ca="1" si="180"/>
        <v>0.01</v>
      </c>
      <c r="B410" s="304">
        <f t="shared" ca="1" si="181"/>
        <v>4.0599999999999579</v>
      </c>
      <c r="D410" s="306">
        <f t="shared" ca="1" si="182"/>
        <v>9.9440878396666843</v>
      </c>
      <c r="E410" s="307">
        <f t="shared" ca="1" si="183"/>
        <v>28.376762654557638</v>
      </c>
      <c r="F410" s="304">
        <f t="shared" ca="1" si="184"/>
        <v>30.068680411951966</v>
      </c>
      <c r="G410" s="306">
        <f t="shared" ca="1" si="185"/>
        <v>53.037219879647957</v>
      </c>
      <c r="H410" s="307">
        <f t="shared" ca="1" si="186"/>
        <v>203.57263984631945</v>
      </c>
      <c r="I410" s="304">
        <f t="shared" ca="1" si="187"/>
        <v>210.36816866285025</v>
      </c>
      <c r="J410" s="306">
        <f t="shared" ca="1" si="188"/>
        <v>110.97770900231281</v>
      </c>
      <c r="K410" s="307">
        <f t="shared" ca="1" si="189"/>
        <v>465.05013203421964</v>
      </c>
      <c r="L410" s="304">
        <f t="shared" ca="1" si="174"/>
        <v>478.10843665474795</v>
      </c>
      <c r="M410" s="306">
        <f t="shared" ca="1" si="190"/>
        <v>1.3159298676351112</v>
      </c>
      <c r="N410" s="304">
        <f t="shared" ca="1" si="191"/>
        <v>75.397227550700933</v>
      </c>
      <c r="P410" s="310">
        <f t="shared" ca="1" si="192"/>
        <v>14</v>
      </c>
      <c r="Q410" s="304">
        <f t="shared" ca="1" si="193"/>
        <v>611.5600000000095</v>
      </c>
      <c r="R410" s="306">
        <f t="shared" ca="1" si="194"/>
        <v>0.30635013346381768</v>
      </c>
      <c r="S410" s="307">
        <f t="shared" ca="1" si="195"/>
        <v>12.511455764431847</v>
      </c>
      <c r="T410" s="304">
        <f t="shared" ca="1" si="175"/>
        <v>122.73738104907643</v>
      </c>
      <c r="U410" s="311">
        <f t="shared" ca="1" si="176"/>
        <v>0</v>
      </c>
      <c r="V410" s="306">
        <f t="shared" ca="1" si="177"/>
        <v>1.1693259207217694</v>
      </c>
      <c r="W410" s="304">
        <f t="shared" ca="1" si="178"/>
        <v>118.16688088562786</v>
      </c>
      <c r="Y410" s="314" t="str">
        <f t="shared" ca="1" si="196"/>
        <v/>
      </c>
      <c r="Z410" s="315" t="str">
        <f t="shared" ca="1" si="197"/>
        <v/>
      </c>
      <c r="AA410" s="316" t="str">
        <f t="shared" ca="1" si="198"/>
        <v/>
      </c>
      <c r="AC410" s="310" t="e">
        <f t="shared" ca="1" si="199"/>
        <v>#N/A</v>
      </c>
      <c r="AD410" s="323" t="e">
        <f t="shared" ca="1" si="200"/>
        <v>#N/A</v>
      </c>
      <c r="AE410" s="324">
        <f t="shared" ca="1" si="179"/>
        <v>465.05013203421964</v>
      </c>
      <c r="AG410" s="306">
        <f t="shared" ca="1" si="201"/>
        <v>29.966882469754523</v>
      </c>
      <c r="AH410" s="304">
        <f t="shared" ca="1" si="202"/>
        <v>39.460280346172468</v>
      </c>
    </row>
    <row r="411" spans="1:34" x14ac:dyDescent="0.25">
      <c r="A411" s="347">
        <f t="shared" ca="1" si="180"/>
        <v>0.01</v>
      </c>
      <c r="B411" s="304">
        <f t="shared" ca="1" si="181"/>
        <v>4.0699999999999577</v>
      </c>
      <c r="D411" s="306">
        <f t="shared" ca="1" si="182"/>
        <v>9.8987503551712894</v>
      </c>
      <c r="E411" s="307">
        <f t="shared" ca="1" si="183"/>
        <v>28.184350864442173</v>
      </c>
      <c r="F411" s="304">
        <f t="shared" ca="1" si="184"/>
        <v>29.872108935326043</v>
      </c>
      <c r="G411" s="306">
        <f t="shared" ca="1" si="185"/>
        <v>53.136207383199668</v>
      </c>
      <c r="H411" s="307">
        <f t="shared" ca="1" si="186"/>
        <v>203.85448335496386</v>
      </c>
      <c r="I411" s="304">
        <f t="shared" ca="1" si="187"/>
        <v>210.66586557624763</v>
      </c>
      <c r="J411" s="306">
        <f t="shared" ca="1" si="188"/>
        <v>111.50857613862705</v>
      </c>
      <c r="K411" s="307">
        <f t="shared" ca="1" si="189"/>
        <v>467.08726765022607</v>
      </c>
      <c r="L411" s="304">
        <f t="shared" ca="1" si="174"/>
        <v>480.21315907981727</v>
      </c>
      <c r="M411" s="306">
        <f t="shared" ca="1" si="190"/>
        <v>1.3158124656173638</v>
      </c>
      <c r="N411" s="304">
        <f t="shared" ca="1" si="191"/>
        <v>75.390500910577686</v>
      </c>
      <c r="P411" s="310">
        <f t="shared" ca="1" si="192"/>
        <v>14</v>
      </c>
      <c r="Q411" s="304">
        <f t="shared" ca="1" si="193"/>
        <v>609.28000000000952</v>
      </c>
      <c r="R411" s="306">
        <f t="shared" ca="1" si="194"/>
        <v>0.30520800790901115</v>
      </c>
      <c r="S411" s="307">
        <f t="shared" ca="1" si="195"/>
        <v>12.508403684352757</v>
      </c>
      <c r="T411" s="304">
        <f t="shared" ca="1" si="175"/>
        <v>122.70744014350055</v>
      </c>
      <c r="U411" s="311">
        <f t="shared" ca="1" si="176"/>
        <v>0</v>
      </c>
      <c r="V411" s="306">
        <f t="shared" ca="1" si="177"/>
        <v>1.169087608032443</v>
      </c>
      <c r="W411" s="304">
        <f t="shared" ca="1" si="178"/>
        <v>118.47740792495264</v>
      </c>
      <c r="Y411" s="314" t="str">
        <f t="shared" ca="1" si="196"/>
        <v/>
      </c>
      <c r="Z411" s="315" t="str">
        <f t="shared" ca="1" si="197"/>
        <v/>
      </c>
      <c r="AA411" s="316" t="str">
        <f t="shared" ca="1" si="198"/>
        <v/>
      </c>
      <c r="AC411" s="310" t="e">
        <f t="shared" ca="1" si="199"/>
        <v>#N/A</v>
      </c>
      <c r="AD411" s="323" t="e">
        <f t="shared" ca="1" si="200"/>
        <v>#N/A</v>
      </c>
      <c r="AE411" s="324">
        <f t="shared" ca="1" si="179"/>
        <v>467.08726765022607</v>
      </c>
      <c r="AG411" s="306">
        <f t="shared" ca="1" si="201"/>
        <v>29.769546156895757</v>
      </c>
      <c r="AH411" s="304">
        <f t="shared" ca="1" si="202"/>
        <v>39.262653453432584</v>
      </c>
    </row>
    <row r="412" spans="1:34" x14ac:dyDescent="0.25">
      <c r="A412" s="347">
        <f t="shared" ca="1" si="180"/>
        <v>0.01</v>
      </c>
      <c r="B412" s="304">
        <f t="shared" ca="1" si="181"/>
        <v>4.0799999999999574</v>
      </c>
      <c r="D412" s="306">
        <f t="shared" ca="1" si="182"/>
        <v>9.8533686200468278</v>
      </c>
      <c r="E412" s="307">
        <f t="shared" ca="1" si="183"/>
        <v>27.991970977340486</v>
      </c>
      <c r="F412" s="304">
        <f t="shared" ca="1" si="184"/>
        <v>29.675567599606172</v>
      </c>
      <c r="G412" s="306">
        <f t="shared" ca="1" si="185"/>
        <v>53.234741069400137</v>
      </c>
      <c r="H412" s="307">
        <f t="shared" ca="1" si="186"/>
        <v>204.13440306473726</v>
      </c>
      <c r="I412" s="304">
        <f t="shared" ca="1" si="187"/>
        <v>210.96158932687885</v>
      </c>
      <c r="J412" s="306">
        <f t="shared" ca="1" si="188"/>
        <v>112.04043088089004</v>
      </c>
      <c r="K412" s="307">
        <f t="shared" ca="1" si="189"/>
        <v>469.12721208232455</v>
      </c>
      <c r="L412" s="304">
        <f t="shared" ca="1" si="174"/>
        <v>482.3208468106161</v>
      </c>
      <c r="M412" s="306">
        <f t="shared" ca="1" si="190"/>
        <v>1.3156951753433519</v>
      </c>
      <c r="N412" s="304">
        <f t="shared" ca="1" si="191"/>
        <v>75.38378067289888</v>
      </c>
      <c r="P412" s="310">
        <f t="shared" ca="1" si="192"/>
        <v>14</v>
      </c>
      <c r="Q412" s="304">
        <f t="shared" ca="1" si="193"/>
        <v>607.00000000000955</v>
      </c>
      <c r="R412" s="306">
        <f t="shared" ca="1" si="194"/>
        <v>0.30406588235420456</v>
      </c>
      <c r="S412" s="307">
        <f t="shared" ca="1" si="195"/>
        <v>12.505363025529215</v>
      </c>
      <c r="T412" s="304">
        <f t="shared" ca="1" si="175"/>
        <v>122.67761128044161</v>
      </c>
      <c r="U412" s="311">
        <f t="shared" ca="1" si="176"/>
        <v>0</v>
      </c>
      <c r="V412" s="306">
        <f t="shared" ca="1" si="177"/>
        <v>1.1688490142890287</v>
      </c>
      <c r="W412" s="304">
        <f t="shared" ca="1" si="178"/>
        <v>118.78602100142766</v>
      </c>
      <c r="Y412" s="314" t="str">
        <f t="shared" ca="1" si="196"/>
        <v/>
      </c>
      <c r="Z412" s="315" t="str">
        <f t="shared" ca="1" si="197"/>
        <v/>
      </c>
      <c r="AA412" s="316" t="str">
        <f t="shared" ca="1" si="198"/>
        <v/>
      </c>
      <c r="AC412" s="310" t="e">
        <f t="shared" ca="1" si="199"/>
        <v>#N/A</v>
      </c>
      <c r="AD412" s="323" t="e">
        <f t="shared" ca="1" si="200"/>
        <v>#N/A</v>
      </c>
      <c r="AE412" s="324">
        <f t="shared" ca="1" si="179"/>
        <v>469.12721208232455</v>
      </c>
      <c r="AG412" s="306">
        <f t="shared" ca="1" si="201"/>
        <v>29.572229953105506</v>
      </c>
      <c r="AH412" s="304">
        <f t="shared" ca="1" si="202"/>
        <v>39.065046818533524</v>
      </c>
    </row>
    <row r="413" spans="1:34" x14ac:dyDescent="0.25">
      <c r="A413" s="347">
        <f t="shared" ca="1" si="180"/>
        <v>0.01</v>
      </c>
      <c r="B413" s="304">
        <f t="shared" ca="1" si="181"/>
        <v>4.0899999999999572</v>
      </c>
      <c r="D413" s="306">
        <f t="shared" ca="1" si="182"/>
        <v>9.8079430639107077</v>
      </c>
      <c r="E413" s="307">
        <f t="shared" ca="1" si="183"/>
        <v>27.799624136881398</v>
      </c>
      <c r="F413" s="304">
        <f t="shared" ca="1" si="184"/>
        <v>29.479057808837666</v>
      </c>
      <c r="G413" s="306">
        <f t="shared" ca="1" si="185"/>
        <v>53.332820500039247</v>
      </c>
      <c r="H413" s="307">
        <f t="shared" ca="1" si="186"/>
        <v>204.41239930610607</v>
      </c>
      <c r="I413" s="304">
        <f t="shared" ca="1" si="187"/>
        <v>211.2553401279323</v>
      </c>
      <c r="J413" s="306">
        <f t="shared" ca="1" si="188"/>
        <v>112.57326868873724</v>
      </c>
      <c r="K413" s="307">
        <f t="shared" ca="1" si="189"/>
        <v>471.16994609417878</v>
      </c>
      <c r="L413" s="304">
        <f t="shared" ca="1" si="174"/>
        <v>484.43148011422414</v>
      </c>
      <c r="M413" s="306">
        <f t="shared" ca="1" si="190"/>
        <v>1.3155779954577038</v>
      </c>
      <c r="N413" s="304">
        <f t="shared" ca="1" si="191"/>
        <v>75.377066760007409</v>
      </c>
      <c r="P413" s="310">
        <f t="shared" ca="1" si="192"/>
        <v>14</v>
      </c>
      <c r="Q413" s="304">
        <f t="shared" ca="1" si="193"/>
        <v>604.72000000000958</v>
      </c>
      <c r="R413" s="306">
        <f t="shared" ca="1" si="194"/>
        <v>0.30292375679939804</v>
      </c>
      <c r="S413" s="307">
        <f t="shared" ca="1" si="195"/>
        <v>12.502333787961222</v>
      </c>
      <c r="T413" s="304">
        <f t="shared" ca="1" si="175"/>
        <v>122.64789445989959</v>
      </c>
      <c r="U413" s="311">
        <f t="shared" ca="1" si="176"/>
        <v>0</v>
      </c>
      <c r="V413" s="306">
        <f t="shared" ca="1" si="177"/>
        <v>1.1686101419229835</v>
      </c>
      <c r="W413" s="304">
        <f t="shared" ca="1" si="178"/>
        <v>119.09271209153576</v>
      </c>
      <c r="Y413" s="314" t="str">
        <f t="shared" ca="1" si="196"/>
        <v/>
      </c>
      <c r="Z413" s="315" t="str">
        <f t="shared" ca="1" si="197"/>
        <v/>
      </c>
      <c r="AA413" s="316" t="str">
        <f t="shared" ca="1" si="198"/>
        <v/>
      </c>
      <c r="AC413" s="310" t="e">
        <f t="shared" ca="1" si="199"/>
        <v>#N/A</v>
      </c>
      <c r="AD413" s="323" t="e">
        <f t="shared" ca="1" si="200"/>
        <v>#N/A</v>
      </c>
      <c r="AE413" s="324">
        <f t="shared" ca="1" si="179"/>
        <v>471.16994609417878</v>
      </c>
      <c r="AG413" s="306">
        <f t="shared" ca="1" si="201"/>
        <v>29.3749350666628</v>
      </c>
      <c r="AH413" s="304">
        <f t="shared" ca="1" si="202"/>
        <v>38.867461646760596</v>
      </c>
    </row>
    <row r="414" spans="1:34" x14ac:dyDescent="0.25">
      <c r="A414" s="347">
        <f t="shared" ca="1" si="180"/>
        <v>0.01</v>
      </c>
      <c r="B414" s="304">
        <f t="shared" ca="1" si="181"/>
        <v>4.099999999999957</v>
      </c>
      <c r="D414" s="306">
        <f t="shared" ca="1" si="182"/>
        <v>9.7624741139962872</v>
      </c>
      <c r="E414" s="307">
        <f t="shared" ca="1" si="183"/>
        <v>27.607311480915676</v>
      </c>
      <c r="F414" s="304">
        <f t="shared" ca="1" si="184"/>
        <v>29.28258096600684</v>
      </c>
      <c r="G414" s="306">
        <f t="shared" ca="1" si="185"/>
        <v>53.430445241179207</v>
      </c>
      <c r="H414" s="307">
        <f t="shared" ca="1" si="186"/>
        <v>204.68847242091522</v>
      </c>
      <c r="I414" s="304">
        <f t="shared" ca="1" si="187"/>
        <v>211.5471182046175</v>
      </c>
      <c r="J414" s="306">
        <f t="shared" ca="1" si="188"/>
        <v>113.10708501744334</v>
      </c>
      <c r="K414" s="307">
        <f t="shared" ca="1" si="189"/>
        <v>473.21545045281391</v>
      </c>
      <c r="L414" s="304">
        <f t="shared" ca="1" si="174"/>
        <v>486.54503925988467</v>
      </c>
      <c r="M414" s="306">
        <f t="shared" ca="1" si="190"/>
        <v>1.3154609246132949</v>
      </c>
      <c r="N414" s="304">
        <f t="shared" ca="1" si="191"/>
        <v>75.370359094718751</v>
      </c>
      <c r="P414" s="310">
        <f t="shared" ca="1" si="192"/>
        <v>14</v>
      </c>
      <c r="Q414" s="304">
        <f t="shared" ca="1" si="193"/>
        <v>602.4400000000096</v>
      </c>
      <c r="R414" s="306">
        <f t="shared" ca="1" si="194"/>
        <v>0.30178163124459151</v>
      </c>
      <c r="S414" s="307">
        <f t="shared" ca="1" si="195"/>
        <v>12.499315971648775</v>
      </c>
      <c r="T414" s="304">
        <f t="shared" ca="1" si="175"/>
        <v>122.61828968187449</v>
      </c>
      <c r="U414" s="311">
        <f t="shared" ca="1" si="176"/>
        <v>0</v>
      </c>
      <c r="V414" s="306">
        <f t="shared" ca="1" si="177"/>
        <v>1.1683709933637341</v>
      </c>
      <c r="W414" s="304">
        <f t="shared" ca="1" si="178"/>
        <v>119.39747326148802</v>
      </c>
      <c r="Y414" s="314" t="str">
        <f t="shared" ca="1" si="196"/>
        <v/>
      </c>
      <c r="Z414" s="315" t="str">
        <f t="shared" ca="1" si="197"/>
        <v/>
      </c>
      <c r="AA414" s="316" t="str">
        <f t="shared" ca="1" si="198"/>
        <v/>
      </c>
      <c r="AC414" s="310" t="e">
        <f t="shared" ca="1" si="199"/>
        <v>#N/A</v>
      </c>
      <c r="AD414" s="323" t="e">
        <f t="shared" ca="1" si="200"/>
        <v>#N/A</v>
      </c>
      <c r="AE414" s="324">
        <f t="shared" ca="1" si="179"/>
        <v>473.21545045281391</v>
      </c>
      <c r="AG414" s="306">
        <f t="shared" ca="1" si="201"/>
        <v>29.177662699699148</v>
      </c>
      <c r="AH414" s="304">
        <f t="shared" ca="1" si="202"/>
        <v>38.669899137265823</v>
      </c>
    </row>
    <row r="415" spans="1:34" x14ac:dyDescent="0.25">
      <c r="A415" s="347">
        <f t="shared" ca="1" si="180"/>
        <v>0.01</v>
      </c>
      <c r="B415" s="304">
        <f t="shared" ca="1" si="181"/>
        <v>4.1099999999999568</v>
      </c>
      <c r="D415" s="306">
        <f t="shared" ca="1" si="182"/>
        <v>9.6668952929302332</v>
      </c>
      <c r="E415" s="307">
        <f t="shared" ca="1" si="183"/>
        <v>27.223231178051741</v>
      </c>
      <c r="F415" s="304">
        <f t="shared" ca="1" si="184"/>
        <v>28.888634103711535</v>
      </c>
      <c r="G415" s="306">
        <f t="shared" ca="1" si="185"/>
        <v>53.527114194108506</v>
      </c>
      <c r="H415" s="307">
        <f t="shared" ca="1" si="186"/>
        <v>204.96070473269575</v>
      </c>
      <c r="I415" s="304">
        <f t="shared" ca="1" si="187"/>
        <v>211.83494149566644</v>
      </c>
      <c r="J415" s="306">
        <f t="shared" ca="1" si="188"/>
        <v>113.64187281461977</v>
      </c>
      <c r="K415" s="307">
        <f t="shared" ca="1" si="189"/>
        <v>475.26369633858195</v>
      </c>
      <c r="L415" s="304">
        <f t="shared" ca="1" si="174"/>
        <v>488.66149460974111</v>
      </c>
      <c r="M415" s="306">
        <f t="shared" ca="1" si="190"/>
        <v>1.3153439603766255</v>
      </c>
      <c r="N415" s="304">
        <f t="shared" ca="1" si="191"/>
        <v>75.363657537603629</v>
      </c>
      <c r="P415" s="310">
        <f t="shared" ca="1" si="192"/>
        <v>15</v>
      </c>
      <c r="Q415" s="304">
        <f t="shared" ca="1" si="193"/>
        <v>597.6833333333642</v>
      </c>
      <c r="R415" s="306">
        <f t="shared" ca="1" si="194"/>
        <v>0.299398863457016</v>
      </c>
      <c r="S415" s="307">
        <f t="shared" ca="1" si="195"/>
        <v>12.496321983014205</v>
      </c>
      <c r="T415" s="304">
        <f t="shared" ca="1" si="175"/>
        <v>122.58891865336936</v>
      </c>
      <c r="U415" s="311">
        <f t="shared" ca="1" si="176"/>
        <v>0</v>
      </c>
      <c r="V415" s="306">
        <f t="shared" ca="1" si="177"/>
        <v>1.1681315721595447</v>
      </c>
      <c r="W415" s="304">
        <f t="shared" ca="1" si="178"/>
        <v>119.69805656251049</v>
      </c>
      <c r="Y415" s="314" t="str">
        <f t="shared" ca="1" si="196"/>
        <v/>
      </c>
      <c r="Z415" s="315" t="str">
        <f t="shared" ca="1" si="197"/>
        <v/>
      </c>
      <c r="AA415" s="316" t="str">
        <f t="shared" ca="1" si="198"/>
        <v/>
      </c>
      <c r="AC415" s="310" t="e">
        <f t="shared" ca="1" si="199"/>
        <v>#N/A</v>
      </c>
      <c r="AD415" s="323" t="e">
        <f t="shared" ca="1" si="200"/>
        <v>#N/A</v>
      </c>
      <c r="AE415" s="324">
        <f t="shared" ca="1" si="179"/>
        <v>475.26369633858195</v>
      </c>
      <c r="AG415" s="306">
        <f t="shared" ca="1" si="201"/>
        <v>28.782184203089102</v>
      </c>
      <c r="AH415" s="304">
        <f t="shared" ca="1" si="202"/>
        <v>38.274130637958329</v>
      </c>
    </row>
    <row r="416" spans="1:34" x14ac:dyDescent="0.25">
      <c r="A416" s="347">
        <f t="shared" ca="1" si="180"/>
        <v>0.01</v>
      </c>
      <c r="B416" s="304">
        <f t="shared" ca="1" si="181"/>
        <v>4.1199999999999566</v>
      </c>
      <c r="D416" s="306">
        <f t="shared" ca="1" si="182"/>
        <v>9.521140038695842</v>
      </c>
      <c r="E416" s="307">
        <f t="shared" ca="1" si="183"/>
        <v>26.647402973623699</v>
      </c>
      <c r="F416" s="304">
        <f t="shared" ca="1" si="184"/>
        <v>28.297282429151146</v>
      </c>
      <c r="G416" s="306">
        <f t="shared" ca="1" si="185"/>
        <v>53.622325594495464</v>
      </c>
      <c r="H416" s="307">
        <f t="shared" ca="1" si="186"/>
        <v>205.22717876243198</v>
      </c>
      <c r="I416" s="304">
        <f t="shared" ca="1" si="187"/>
        <v>212.11682796268028</v>
      </c>
      <c r="J416" s="306">
        <f t="shared" ca="1" si="188"/>
        <v>114.17762001356279</v>
      </c>
      <c r="K416" s="307">
        <f t="shared" ca="1" si="189"/>
        <v>477.31463575605761</v>
      </c>
      <c r="L416" s="304">
        <f t="shared" ca="1" si="174"/>
        <v>490.78079670958954</v>
      </c>
      <c r="M416" s="306">
        <f t="shared" ca="1" si="190"/>
        <v>1.3152270992370205</v>
      </c>
      <c r="N416" s="304">
        <f t="shared" ca="1" si="191"/>
        <v>75.356961887515169</v>
      </c>
      <c r="P416" s="310">
        <f t="shared" ca="1" si="192"/>
        <v>15</v>
      </c>
      <c r="Q416" s="304">
        <f t="shared" ca="1" si="193"/>
        <v>590.45000000003108</v>
      </c>
      <c r="R416" s="306">
        <f t="shared" ca="1" si="194"/>
        <v>0.29577545343665029</v>
      </c>
      <c r="S416" s="307">
        <f t="shared" ca="1" si="195"/>
        <v>12.493364228479839</v>
      </c>
      <c r="T416" s="304">
        <f t="shared" ca="1" si="175"/>
        <v>122.55990308138723</v>
      </c>
      <c r="U416" s="311">
        <f t="shared" ca="1" si="176"/>
        <v>0</v>
      </c>
      <c r="V416" s="306">
        <f t="shared" ca="1" si="177"/>
        <v>1.1678918840969323</v>
      </c>
      <c r="W416" s="304">
        <f t="shared" ca="1" si="178"/>
        <v>119.99220417049516</v>
      </c>
      <c r="Y416" s="314" t="str">
        <f t="shared" ca="1" si="196"/>
        <v/>
      </c>
      <c r="Z416" s="315" t="str">
        <f t="shared" ca="1" si="197"/>
        <v/>
      </c>
      <c r="AA416" s="316" t="str">
        <f t="shared" ca="1" si="198"/>
        <v/>
      </c>
      <c r="AC416" s="310" t="e">
        <f t="shared" ca="1" si="199"/>
        <v>#N/A</v>
      </c>
      <c r="AD416" s="323" t="e">
        <f t="shared" ca="1" si="200"/>
        <v>#N/A</v>
      </c>
      <c r="AE416" s="324">
        <f t="shared" ca="1" si="179"/>
        <v>477.31463575605761</v>
      </c>
      <c r="AG416" s="306">
        <f t="shared" ca="1" si="201"/>
        <v>28.188501862435068</v>
      </c>
      <c r="AH416" s="304">
        <f t="shared" ca="1" si="202"/>
        <v>37.68015842877579</v>
      </c>
    </row>
    <row r="417" spans="1:34" x14ac:dyDescent="0.25">
      <c r="A417" s="347">
        <f t="shared" ca="1" si="180"/>
        <v>0.01</v>
      </c>
      <c r="B417" s="304">
        <f t="shared" ca="1" si="181"/>
        <v>4.1299999999999564</v>
      </c>
      <c r="D417" s="306">
        <f t="shared" ca="1" si="182"/>
        <v>9.3752784595440026</v>
      </c>
      <c r="E417" s="307">
        <f t="shared" ca="1" si="183"/>
        <v>26.071732599861875</v>
      </c>
      <c r="F417" s="304">
        <f t="shared" ca="1" si="184"/>
        <v>27.706156120124103</v>
      </c>
      <c r="G417" s="306">
        <f t="shared" ca="1" si="185"/>
        <v>53.716078379090902</v>
      </c>
      <c r="H417" s="307">
        <f t="shared" ca="1" si="186"/>
        <v>205.4878960884306</v>
      </c>
      <c r="I417" s="304">
        <f t="shared" ca="1" si="187"/>
        <v>212.39277886801682</v>
      </c>
      <c r="J417" s="306">
        <f t="shared" ca="1" si="188"/>
        <v>114.71431203343072</v>
      </c>
      <c r="K417" s="307">
        <f t="shared" ca="1" si="189"/>
        <v>479.36821113031192</v>
      </c>
      <c r="L417" s="304">
        <f t="shared" ca="1" si="174"/>
        <v>492.90288620333581</v>
      </c>
      <c r="M417" s="306">
        <f t="shared" ca="1" si="190"/>
        <v>1.3151103377055506</v>
      </c>
      <c r="N417" s="304">
        <f t="shared" ca="1" si="191"/>
        <v>75.35027194455246</v>
      </c>
      <c r="P417" s="310">
        <f t="shared" ca="1" si="192"/>
        <v>15</v>
      </c>
      <c r="Q417" s="304">
        <f t="shared" ca="1" si="193"/>
        <v>583.21666666669807</v>
      </c>
      <c r="R417" s="306">
        <f t="shared" ca="1" si="194"/>
        <v>0.29215204341628465</v>
      </c>
      <c r="S417" s="307">
        <f t="shared" ca="1" si="195"/>
        <v>12.490442708045677</v>
      </c>
      <c r="T417" s="304">
        <f t="shared" ca="1" si="175"/>
        <v>122.5312429659281</v>
      </c>
      <c r="U417" s="311">
        <f t="shared" ca="1" si="176"/>
        <v>0</v>
      </c>
      <c r="V417" s="306">
        <f t="shared" ca="1" si="177"/>
        <v>1.1676519360772584</v>
      </c>
      <c r="W417" s="304">
        <f t="shared" ca="1" si="178"/>
        <v>120.27989509838491</v>
      </c>
      <c r="Y417" s="314" t="str">
        <f t="shared" ca="1" si="196"/>
        <v/>
      </c>
      <c r="Z417" s="315" t="str">
        <f t="shared" ca="1" si="197"/>
        <v/>
      </c>
      <c r="AA417" s="316" t="str">
        <f t="shared" ca="1" si="198"/>
        <v/>
      </c>
      <c r="AC417" s="310" t="e">
        <f t="shared" ca="1" si="199"/>
        <v>#N/A</v>
      </c>
      <c r="AD417" s="323" t="e">
        <f t="shared" ca="1" si="200"/>
        <v>#N/A</v>
      </c>
      <c r="AE417" s="324">
        <f t="shared" ca="1" si="179"/>
        <v>479.36821113031192</v>
      </c>
      <c r="AG417" s="306">
        <f t="shared" ca="1" si="201"/>
        <v>27.594945753406908</v>
      </c>
      <c r="AH417" s="304">
        <f t="shared" ca="1" si="202"/>
        <v>37.086312577040879</v>
      </c>
    </row>
    <row r="418" spans="1:34" x14ac:dyDescent="0.25">
      <c r="A418" s="347">
        <f t="shared" ca="1" si="180"/>
        <v>0.01</v>
      </c>
      <c r="B418" s="304">
        <f t="shared" ca="1" si="181"/>
        <v>4.1399999999999562</v>
      </c>
      <c r="D418" s="306">
        <f t="shared" ca="1" si="182"/>
        <v>9.2293126605084055</v>
      </c>
      <c r="E418" s="307">
        <f t="shared" ca="1" si="183"/>
        <v>25.496226704896806</v>
      </c>
      <c r="F418" s="304">
        <f t="shared" ca="1" si="184"/>
        <v>27.115268546944428</v>
      </c>
      <c r="G418" s="306">
        <f t="shared" ca="1" si="185"/>
        <v>53.808371505695987</v>
      </c>
      <c r="H418" s="307">
        <f t="shared" ca="1" si="186"/>
        <v>205.74285835547957</v>
      </c>
      <c r="I418" s="304">
        <f t="shared" ca="1" si="187"/>
        <v>212.66279554350339</v>
      </c>
      <c r="J418" s="306">
        <f t="shared" ca="1" si="188"/>
        <v>115.25193428285465</v>
      </c>
      <c r="K418" s="307">
        <f t="shared" ca="1" si="189"/>
        <v>481.42436490253147</v>
      </c>
      <c r="L418" s="304">
        <f t="shared" ca="1" si="174"/>
        <v>495.02770374772484</v>
      </c>
      <c r="M418" s="306">
        <f t="shared" ca="1" si="190"/>
        <v>1.314993672314378</v>
      </c>
      <c r="N418" s="304">
        <f t="shared" ca="1" si="191"/>
        <v>75.343587510023028</v>
      </c>
      <c r="P418" s="310">
        <f t="shared" ca="1" si="192"/>
        <v>15</v>
      </c>
      <c r="Q418" s="304">
        <f t="shared" ca="1" si="193"/>
        <v>575.98333333336495</v>
      </c>
      <c r="R418" s="306">
        <f t="shared" ca="1" si="194"/>
        <v>0.28852863339591894</v>
      </c>
      <c r="S418" s="307">
        <f t="shared" ca="1" si="195"/>
        <v>12.487557421711719</v>
      </c>
      <c r="T418" s="304">
        <f t="shared" ca="1" si="175"/>
        <v>122.50293830699196</v>
      </c>
      <c r="U418" s="311">
        <f t="shared" ca="1" si="176"/>
        <v>0</v>
      </c>
      <c r="V418" s="306">
        <f t="shared" ca="1" si="177"/>
        <v>1.1674117349947399</v>
      </c>
      <c r="W418" s="304">
        <f t="shared" ca="1" si="178"/>
        <v>120.56110904485972</v>
      </c>
      <c r="Y418" s="314" t="str">
        <f t="shared" ca="1" si="196"/>
        <v/>
      </c>
      <c r="Z418" s="315" t="str">
        <f t="shared" ca="1" si="197"/>
        <v/>
      </c>
      <c r="AA418" s="316" t="str">
        <f t="shared" ca="1" si="198"/>
        <v/>
      </c>
      <c r="AC418" s="310" t="e">
        <f t="shared" ca="1" si="199"/>
        <v>#N/A</v>
      </c>
      <c r="AD418" s="323" t="e">
        <f t="shared" ca="1" si="200"/>
        <v>#N/A</v>
      </c>
      <c r="AE418" s="324">
        <f t="shared" ca="1" si="179"/>
        <v>481.42436490253147</v>
      </c>
      <c r="AG418" s="306">
        <f t="shared" ca="1" si="201"/>
        <v>27.001522822975332</v>
      </c>
      <c r="AH418" s="304">
        <f t="shared" ca="1" si="202"/>
        <v>36.49260002141515</v>
      </c>
    </row>
    <row r="419" spans="1:34" x14ac:dyDescent="0.25">
      <c r="A419" s="347">
        <f t="shared" ca="1" si="180"/>
        <v>0.01</v>
      </c>
      <c r="B419" s="304">
        <f t="shared" ca="1" si="181"/>
        <v>4.1499999999999559</v>
      </c>
      <c r="D419" s="306">
        <f t="shared" ca="1" si="182"/>
        <v>9.083244728045468</v>
      </c>
      <c r="E419" s="307">
        <f t="shared" ca="1" si="183"/>
        <v>24.920891889054616</v>
      </c>
      <c r="F419" s="304">
        <f t="shared" ca="1" si="184"/>
        <v>26.524633594745733</v>
      </c>
      <c r="G419" s="306">
        <f t="shared" ca="1" si="185"/>
        <v>53.899203952976443</v>
      </c>
      <c r="H419" s="307">
        <f t="shared" ca="1" si="186"/>
        <v>205.99206727437013</v>
      </c>
      <c r="I419" s="304">
        <f t="shared" ca="1" si="187"/>
        <v>212.92687938992856</v>
      </c>
      <c r="J419" s="306">
        <f t="shared" ca="1" si="188"/>
        <v>115.79047216014801</v>
      </c>
      <c r="K419" s="307">
        <f t="shared" ca="1" si="189"/>
        <v>483.48303953068074</v>
      </c>
      <c r="L419" s="304">
        <f t="shared" ca="1" si="174"/>
        <v>497.15519001303386</v>
      </c>
      <c r="M419" s="306">
        <f t="shared" ca="1" si="190"/>
        <v>1.3148770996161148</v>
      </c>
      <c r="N419" s="304">
        <f t="shared" ca="1" si="191"/>
        <v>75.336908386406094</v>
      </c>
      <c r="P419" s="310">
        <f t="shared" ca="1" si="192"/>
        <v>15</v>
      </c>
      <c r="Q419" s="304">
        <f t="shared" ca="1" si="193"/>
        <v>568.75000000003183</v>
      </c>
      <c r="R419" s="306">
        <f t="shared" ca="1" si="194"/>
        <v>0.28490522337555324</v>
      </c>
      <c r="S419" s="307">
        <f t="shared" ca="1" si="195"/>
        <v>12.484708369477962</v>
      </c>
      <c r="T419" s="304">
        <f t="shared" ca="1" si="175"/>
        <v>122.47498910457881</v>
      </c>
      <c r="U419" s="311">
        <f t="shared" ca="1" si="176"/>
        <v>0</v>
      </c>
      <c r="V419" s="306">
        <f t="shared" ca="1" si="177"/>
        <v>1.16717128773636</v>
      </c>
      <c r="W419" s="304">
        <f t="shared" ca="1" si="178"/>
        <v>120.83582639284428</v>
      </c>
      <c r="Y419" s="314" t="str">
        <f t="shared" ca="1" si="196"/>
        <v/>
      </c>
      <c r="Z419" s="315" t="str">
        <f t="shared" ca="1" si="197"/>
        <v/>
      </c>
      <c r="AA419" s="316" t="str">
        <f t="shared" ca="1" si="198"/>
        <v/>
      </c>
      <c r="AC419" s="310" t="e">
        <f t="shared" ca="1" si="199"/>
        <v>#N/A</v>
      </c>
      <c r="AD419" s="323" t="e">
        <f t="shared" ca="1" si="200"/>
        <v>#N/A</v>
      </c>
      <c r="AE419" s="324">
        <f t="shared" ca="1" si="179"/>
        <v>483.48303953068074</v>
      </c>
      <c r="AG419" s="306">
        <f t="shared" ca="1" si="201"/>
        <v>26.40823996728173</v>
      </c>
      <c r="AH419" s="304">
        <f t="shared" ca="1" si="202"/>
        <v>35.899027649767419</v>
      </c>
    </row>
    <row r="420" spans="1:34" x14ac:dyDescent="0.25">
      <c r="A420" s="347">
        <f t="shared" ca="1" si="180"/>
        <v>0.01</v>
      </c>
      <c r="B420" s="304">
        <f t="shared" ca="1" si="181"/>
        <v>4.1599999999999557</v>
      </c>
      <c r="D420" s="306">
        <f t="shared" ca="1" si="182"/>
        <v>8.9370767300520839</v>
      </c>
      <c r="E420" s="307">
        <f t="shared" ca="1" si="183"/>
        <v>24.345734704713287</v>
      </c>
      <c r="F420" s="304">
        <f t="shared" ca="1" si="184"/>
        <v>25.934265726854875</v>
      </c>
      <c r="G420" s="306">
        <f t="shared" ca="1" si="185"/>
        <v>53.988574720276965</v>
      </c>
      <c r="H420" s="307">
        <f t="shared" ca="1" si="186"/>
        <v>206.23552462141726</v>
      </c>
      <c r="I420" s="304">
        <f t="shared" ca="1" si="187"/>
        <v>213.18503187653241</v>
      </c>
      <c r="J420" s="306">
        <f t="shared" ca="1" si="188"/>
        <v>116.32991105351428</v>
      </c>
      <c r="K420" s="307">
        <f t="shared" ca="1" si="189"/>
        <v>485.54417749015965</v>
      </c>
      <c r="L420" s="304">
        <f t="shared" ca="1" si="174"/>
        <v>499.28528568376038</v>
      </c>
      <c r="M420" s="306">
        <f t="shared" ca="1" si="190"/>
        <v>1.3147606161831866</v>
      </c>
      <c r="N420" s="304">
        <f t="shared" ca="1" si="191"/>
        <v>75.330234377316117</v>
      </c>
      <c r="P420" s="310">
        <f t="shared" ca="1" si="192"/>
        <v>15</v>
      </c>
      <c r="Q420" s="304">
        <f t="shared" ca="1" si="193"/>
        <v>561.51666666669871</v>
      </c>
      <c r="R420" s="306">
        <f t="shared" ca="1" si="194"/>
        <v>0.28128181335518754</v>
      </c>
      <c r="S420" s="307">
        <f t="shared" ca="1" si="195"/>
        <v>12.48189555134441</v>
      </c>
      <c r="T420" s="304">
        <f t="shared" ca="1" si="175"/>
        <v>122.44739535868867</v>
      </c>
      <c r="U420" s="311">
        <f t="shared" ca="1" si="176"/>
        <v>0</v>
      </c>
      <c r="V420" s="306">
        <f t="shared" ca="1" si="177"/>
        <v>1.1669306011817826</v>
      </c>
      <c r="W420" s="304">
        <f t="shared" ca="1" si="178"/>
        <v>121.1040282079737</v>
      </c>
      <c r="Y420" s="314" t="str">
        <f t="shared" ca="1" si="196"/>
        <v/>
      </c>
      <c r="Z420" s="315" t="str">
        <f t="shared" ca="1" si="197"/>
        <v/>
      </c>
      <c r="AA420" s="316" t="str">
        <f t="shared" ca="1" si="198"/>
        <v/>
      </c>
      <c r="AC420" s="310" t="e">
        <f t="shared" ca="1" si="199"/>
        <v>#N/A</v>
      </c>
      <c r="AD420" s="323" t="e">
        <f t="shared" ca="1" si="200"/>
        <v>#N/A</v>
      </c>
      <c r="AE420" s="324">
        <f t="shared" ca="1" si="179"/>
        <v>485.54417749015965</v>
      </c>
      <c r="AG420" s="306">
        <f t="shared" ca="1" si="201"/>
        <v>25.815104031500404</v>
      </c>
      <c r="AH420" s="304">
        <f t="shared" ca="1" si="202"/>
        <v>35.305602299034561</v>
      </c>
    </row>
    <row r="421" spans="1:34" x14ac:dyDescent="0.25">
      <c r="A421" s="347">
        <f t="shared" ca="1" si="180"/>
        <v>0.01</v>
      </c>
      <c r="B421" s="304">
        <f t="shared" ca="1" si="181"/>
        <v>4.1699999999999555</v>
      </c>
      <c r="D421" s="306">
        <f t="shared" ca="1" si="182"/>
        <v>8.7908107158827598</v>
      </c>
      <c r="E421" s="307">
        <f t="shared" ca="1" si="183"/>
        <v>23.770761656164666</v>
      </c>
      <c r="F421" s="304">
        <f t="shared" ca="1" si="184"/>
        <v>25.344180056901969</v>
      </c>
      <c r="G421" s="306">
        <f t="shared" ca="1" si="185"/>
        <v>54.07648282743579</v>
      </c>
      <c r="H421" s="307">
        <f t="shared" ca="1" si="186"/>
        <v>206.47323223797889</v>
      </c>
      <c r="I421" s="304">
        <f t="shared" ca="1" si="187"/>
        <v>213.43725454049564</v>
      </c>
      <c r="J421" s="306">
        <f t="shared" ca="1" si="188"/>
        <v>116.87023634125285</v>
      </c>
      <c r="K421" s="307">
        <f t="shared" ca="1" si="189"/>
        <v>487.60772127445665</v>
      </c>
      <c r="L421" s="304">
        <f t="shared" ca="1" si="174"/>
        <v>501.41793145930518</v>
      </c>
      <c r="M421" s="306">
        <f t="shared" ca="1" si="190"/>
        <v>1.3146442186072107</v>
      </c>
      <c r="N421" s="304">
        <f t="shared" ca="1" si="191"/>
        <v>75.323565287467147</v>
      </c>
      <c r="P421" s="310">
        <f t="shared" ca="1" si="192"/>
        <v>15</v>
      </c>
      <c r="Q421" s="304">
        <f t="shared" ca="1" si="193"/>
        <v>554.28333333336559</v>
      </c>
      <c r="R421" s="306">
        <f t="shared" ca="1" si="194"/>
        <v>0.27765840333482183</v>
      </c>
      <c r="S421" s="307">
        <f t="shared" ca="1" si="195"/>
        <v>12.479118967311061</v>
      </c>
      <c r="T421" s="304">
        <f t="shared" ca="1" si="175"/>
        <v>122.42015706932152</v>
      </c>
      <c r="U421" s="311">
        <f t="shared" ca="1" si="176"/>
        <v>0</v>
      </c>
      <c r="V421" s="306">
        <f t="shared" ca="1" si="177"/>
        <v>1.166689682203262</v>
      </c>
      <c r="W421" s="304">
        <f t="shared" ca="1" si="178"/>
        <v>121.36569623701662</v>
      </c>
      <c r="Y421" s="314" t="str">
        <f t="shared" ca="1" si="196"/>
        <v/>
      </c>
      <c r="Z421" s="315" t="str">
        <f t="shared" ca="1" si="197"/>
        <v/>
      </c>
      <c r="AA421" s="316" t="str">
        <f t="shared" ca="1" si="198"/>
        <v/>
      </c>
      <c r="AC421" s="310" t="e">
        <f t="shared" ca="1" si="199"/>
        <v>#N/A</v>
      </c>
      <c r="AD421" s="323" t="e">
        <f t="shared" ca="1" si="200"/>
        <v>#N/A</v>
      </c>
      <c r="AE421" s="324">
        <f t="shared" ca="1" si="179"/>
        <v>487.60772127445665</v>
      </c>
      <c r="AG421" s="306">
        <f t="shared" ca="1" si="201"/>
        <v>25.222121809706376</v>
      </c>
      <c r="AH421" s="304">
        <f t="shared" ca="1" si="202"/>
        <v>34.712330755087855</v>
      </c>
    </row>
    <row r="422" spans="1:34" x14ac:dyDescent="0.25">
      <c r="A422" s="347">
        <f t="shared" ca="1" si="180"/>
        <v>0.01</v>
      </c>
      <c r="B422" s="304">
        <f t="shared" ca="1" si="181"/>
        <v>4.1799999999999553</v>
      </c>
      <c r="D422" s="306">
        <f t="shared" ca="1" si="182"/>
        <v>8.6444487163658401</v>
      </c>
      <c r="E422" s="307">
        <f t="shared" ca="1" si="183"/>
        <v>23.195979199482231</v>
      </c>
      <c r="F422" s="304">
        <f t="shared" ca="1" si="184"/>
        <v>24.754392431095763</v>
      </c>
      <c r="G422" s="306">
        <f t="shared" ca="1" si="185"/>
        <v>54.16292731459945</v>
      </c>
      <c r="H422" s="307">
        <f t="shared" ca="1" si="186"/>
        <v>206.70519202997372</v>
      </c>
      <c r="I422" s="304">
        <f t="shared" ca="1" si="187"/>
        <v>213.68354898642733</v>
      </c>
      <c r="J422" s="306">
        <f t="shared" ca="1" si="188"/>
        <v>117.41143339196303</v>
      </c>
      <c r="K422" s="307">
        <f t="shared" ca="1" si="189"/>
        <v>489.67361339579639</v>
      </c>
      <c r="L422" s="304">
        <f t="shared" ca="1" si="174"/>
        <v>503.55306805465023</v>
      </c>
      <c r="M422" s="306">
        <f t="shared" ca="1" si="190"/>
        <v>1.3145279034983772</v>
      </c>
      <c r="N422" s="304">
        <f t="shared" ca="1" si="191"/>
        <v>75.316900922637373</v>
      </c>
      <c r="P422" s="310">
        <f t="shared" ca="1" si="192"/>
        <v>15</v>
      </c>
      <c r="Q422" s="304">
        <f t="shared" ca="1" si="193"/>
        <v>547.05000000003247</v>
      </c>
      <c r="R422" s="306">
        <f t="shared" ca="1" si="194"/>
        <v>0.27403499331445613</v>
      </c>
      <c r="S422" s="307">
        <f t="shared" ca="1" si="195"/>
        <v>12.476378617377916</v>
      </c>
      <c r="T422" s="304">
        <f t="shared" ca="1" si="175"/>
        <v>122.39327423647737</v>
      </c>
      <c r="U422" s="311">
        <f t="shared" ca="1" si="176"/>
        <v>0</v>
      </c>
      <c r="V422" s="306">
        <f t="shared" ca="1" si="177"/>
        <v>1.1664485376655607</v>
      </c>
      <c r="W422" s="304">
        <f t="shared" ca="1" si="178"/>
        <v>121.62081290625784</v>
      </c>
      <c r="Y422" s="314" t="str">
        <f t="shared" ca="1" si="196"/>
        <v/>
      </c>
      <c r="Z422" s="315" t="str">
        <f t="shared" ca="1" si="197"/>
        <v/>
      </c>
      <c r="AA422" s="316" t="str">
        <f t="shared" ca="1" si="198"/>
        <v/>
      </c>
      <c r="AC422" s="310" t="e">
        <f t="shared" ca="1" si="199"/>
        <v>#N/A</v>
      </c>
      <c r="AD422" s="323" t="e">
        <f t="shared" ca="1" si="200"/>
        <v>#N/A</v>
      </c>
      <c r="AE422" s="324">
        <f t="shared" ca="1" si="179"/>
        <v>489.67361339579639</v>
      </c>
      <c r="AG422" s="306">
        <f t="shared" ca="1" si="201"/>
        <v>24.629300044748511</v>
      </c>
      <c r="AH422" s="304">
        <f t="shared" ca="1" si="202"/>
        <v>34.119219752604728</v>
      </c>
    </row>
    <row r="423" spans="1:34" x14ac:dyDescent="0.25">
      <c r="A423" s="347">
        <f t="shared" ca="1" si="180"/>
        <v>0.01</v>
      </c>
      <c r="B423" s="304">
        <f t="shared" ca="1" si="181"/>
        <v>4.1899999999999551</v>
      </c>
      <c r="D423" s="306">
        <f t="shared" ca="1" si="182"/>
        <v>8.4979927438191858</v>
      </c>
      <c r="E423" s="307">
        <f t="shared" ca="1" si="183"/>
        <v>22.621393742394503</v>
      </c>
      <c r="F423" s="304">
        <f t="shared" ca="1" si="184"/>
        <v>24.164919522366482</v>
      </c>
      <c r="G423" s="306">
        <f t="shared" ca="1" si="185"/>
        <v>54.247907242037641</v>
      </c>
      <c r="H423" s="307">
        <f t="shared" ca="1" si="186"/>
        <v>206.93140596739767</v>
      </c>
      <c r="I423" s="304">
        <f t="shared" ca="1" si="187"/>
        <v>213.92391688585141</v>
      </c>
      <c r="J423" s="306">
        <f t="shared" ca="1" si="188"/>
        <v>117.95348756474621</v>
      </c>
      <c r="K423" s="307">
        <f t="shared" ca="1" si="189"/>
        <v>491.74179638578323</v>
      </c>
      <c r="L423" s="304">
        <f t="shared" ca="1" si="174"/>
        <v>505.69063620103134</v>
      </c>
      <c r="M423" s="306">
        <f t="shared" ca="1" si="190"/>
        <v>1.3144116674848425</v>
      </c>
      <c r="N423" s="304">
        <f t="shared" ca="1" si="191"/>
        <v>75.310241089634417</v>
      </c>
      <c r="P423" s="310">
        <f t="shared" ca="1" si="192"/>
        <v>15</v>
      </c>
      <c r="Q423" s="304">
        <f t="shared" ca="1" si="193"/>
        <v>539.81666666669935</v>
      </c>
      <c r="R423" s="306">
        <f t="shared" ca="1" si="194"/>
        <v>0.27041158329409043</v>
      </c>
      <c r="S423" s="307">
        <f t="shared" ca="1" si="195"/>
        <v>12.473674501544975</v>
      </c>
      <c r="T423" s="304">
        <f t="shared" ca="1" si="175"/>
        <v>122.36674686015621</v>
      </c>
      <c r="U423" s="311">
        <f t="shared" ca="1" si="176"/>
        <v>0</v>
      </c>
      <c r="V423" s="306">
        <f t="shared" ca="1" si="177"/>
        <v>1.1662071744258626</v>
      </c>
      <c r="W423" s="304">
        <f t="shared" ca="1" si="178"/>
        <v>121.86936131983987</v>
      </c>
      <c r="Y423" s="314" t="str">
        <f t="shared" ca="1" si="196"/>
        <v/>
      </c>
      <c r="Z423" s="315" t="str">
        <f t="shared" ca="1" si="197"/>
        <v/>
      </c>
      <c r="AA423" s="316" t="str">
        <f t="shared" ca="1" si="198"/>
        <v/>
      </c>
      <c r="AC423" s="310" t="e">
        <f t="shared" ca="1" si="199"/>
        <v>#N/A</v>
      </c>
      <c r="AD423" s="323" t="e">
        <f t="shared" ca="1" si="200"/>
        <v>#N/A</v>
      </c>
      <c r="AE423" s="324">
        <f t="shared" ca="1" si="179"/>
        <v>491.74179638578323</v>
      </c>
      <c r="AG423" s="306">
        <f t="shared" ca="1" si="201"/>
        <v>24.036645428128001</v>
      </c>
      <c r="AH423" s="304">
        <f t="shared" ca="1" si="202"/>
        <v>33.526275974945818</v>
      </c>
    </row>
    <row r="424" spans="1:34" x14ac:dyDescent="0.25">
      <c r="A424" s="347">
        <f t="shared" ca="1" si="180"/>
        <v>0.01</v>
      </c>
      <c r="B424" s="304">
        <f t="shared" ca="1" si="181"/>
        <v>4.1999999999999549</v>
      </c>
      <c r="D424" s="306">
        <f t="shared" ca="1" si="182"/>
        <v>8.3228878176099794</v>
      </c>
      <c r="E424" s="307">
        <f t="shared" ca="1" si="183"/>
        <v>21.938079610200042</v>
      </c>
      <c r="F424" s="304">
        <f t="shared" ca="1" si="184"/>
        <v>23.463797616924577</v>
      </c>
      <c r="G424" s="306">
        <f t="shared" ca="1" si="185"/>
        <v>54.331136120213742</v>
      </c>
      <c r="H424" s="307">
        <f t="shared" ca="1" si="186"/>
        <v>207.15078676349967</v>
      </c>
      <c r="I424" s="304">
        <f t="shared" ca="1" si="187"/>
        <v>214.15723384665318</v>
      </c>
      <c r="J424" s="306">
        <f t="shared" ca="1" si="188"/>
        <v>118.49638278155747</v>
      </c>
      <c r="K424" s="307">
        <f t="shared" ca="1" si="189"/>
        <v>493.8122073494377</v>
      </c>
      <c r="L424" s="304">
        <f t="shared" ca="1" si="174"/>
        <v>507.83057101718231</v>
      </c>
      <c r="M424" s="306">
        <f t="shared" ca="1" si="190"/>
        <v>1.3142955066013091</v>
      </c>
      <c r="N424" s="304">
        <f t="shared" ca="1" si="191"/>
        <v>75.303585561263446</v>
      </c>
      <c r="P424" s="310">
        <f t="shared" ca="1" si="192"/>
        <v>16</v>
      </c>
      <c r="Q424" s="304">
        <f t="shared" ca="1" si="193"/>
        <v>531.17916666671226</v>
      </c>
      <c r="R424" s="306">
        <f t="shared" ca="1" si="194"/>
        <v>0.26608478089074533</v>
      </c>
      <c r="S424" s="307">
        <f t="shared" ca="1" si="195"/>
        <v>12.471013653736067</v>
      </c>
      <c r="T424" s="304">
        <f t="shared" ca="1" si="175"/>
        <v>122.34064394315082</v>
      </c>
      <c r="U424" s="311">
        <f t="shared" ca="1" si="176"/>
        <v>0</v>
      </c>
      <c r="V424" s="306">
        <f t="shared" ca="1" si="177"/>
        <v>1.1659655999691334</v>
      </c>
      <c r="W424" s="304">
        <f t="shared" ca="1" si="178"/>
        <v>122.11004110792535</v>
      </c>
      <c r="Y424" s="314" t="str">
        <f t="shared" ca="1" si="196"/>
        <v/>
      </c>
      <c r="Z424" s="315" t="str">
        <f t="shared" ca="1" si="197"/>
        <v/>
      </c>
      <c r="AA424" s="316" t="str">
        <f t="shared" ca="1" si="198"/>
        <v/>
      </c>
      <c r="AC424" s="310" t="e">
        <f t="shared" ca="1" si="199"/>
        <v>#N/A</v>
      </c>
      <c r="AD424" s="323" t="e">
        <f t="shared" ca="1" si="200"/>
        <v>#N/A</v>
      </c>
      <c r="AE424" s="324">
        <f t="shared" ca="1" si="179"/>
        <v>493.8122073494377</v>
      </c>
      <c r="AG424" s="306">
        <f t="shared" ca="1" si="201"/>
        <v>23.331551595244257</v>
      </c>
      <c r="AH424" s="304">
        <f t="shared" ca="1" si="202"/>
        <v>32.820893049399501</v>
      </c>
    </row>
    <row r="425" spans="1:34" x14ac:dyDescent="0.25">
      <c r="A425" s="347">
        <f t="shared" ca="1" si="180"/>
        <v>0.01</v>
      </c>
      <c r="B425" s="304">
        <f t="shared" ca="1" si="181"/>
        <v>4.2099999999999547</v>
      </c>
      <c r="D425" s="306">
        <f t="shared" ca="1" si="182"/>
        <v>8.1191017813919544</v>
      </c>
      <c r="E425" s="307">
        <f t="shared" ca="1" si="183"/>
        <v>21.146067587228991</v>
      </c>
      <c r="F425" s="304">
        <f t="shared" ca="1" si="184"/>
        <v>22.651180722873111</v>
      </c>
      <c r="G425" s="306">
        <f t="shared" ca="1" si="185"/>
        <v>54.412327138027663</v>
      </c>
      <c r="H425" s="307">
        <f t="shared" ca="1" si="186"/>
        <v>207.36224743937197</v>
      </c>
      <c r="I425" s="304">
        <f t="shared" ca="1" si="187"/>
        <v>214.38237569278652</v>
      </c>
      <c r="J425" s="306">
        <f t="shared" ca="1" si="188"/>
        <v>119.04010009784868</v>
      </c>
      <c r="K425" s="307">
        <f t="shared" ca="1" si="189"/>
        <v>495.88477252045203</v>
      </c>
      <c r="L425" s="304">
        <f t="shared" ca="1" si="174"/>
        <v>509.97279638130334</v>
      </c>
      <c r="M425" s="306">
        <f t="shared" ca="1" si="190"/>
        <v>1.3141794162923308</v>
      </c>
      <c r="N425" s="304">
        <f t="shared" ca="1" si="191"/>
        <v>75.296934076516607</v>
      </c>
      <c r="P425" s="310">
        <f t="shared" ca="1" si="192"/>
        <v>16</v>
      </c>
      <c r="Q425" s="304">
        <f t="shared" ca="1" si="193"/>
        <v>521.13750000004575</v>
      </c>
      <c r="R425" s="306">
        <f t="shared" ca="1" si="194"/>
        <v>0.26105458610440807</v>
      </c>
      <c r="S425" s="307">
        <f t="shared" ca="1" si="195"/>
        <v>12.468403107875023</v>
      </c>
      <c r="T425" s="304">
        <f t="shared" ca="1" si="175"/>
        <v>122.31503448825399</v>
      </c>
      <c r="U425" s="311">
        <f t="shared" ca="1" si="176"/>
        <v>0</v>
      </c>
      <c r="V425" s="306">
        <f t="shared" ca="1" si="177"/>
        <v>1.1657238230425657</v>
      </c>
      <c r="W425" s="304">
        <f t="shared" ca="1" si="178"/>
        <v>122.34154850583681</v>
      </c>
      <c r="Y425" s="314" t="str">
        <f t="shared" ca="1" si="196"/>
        <v/>
      </c>
      <c r="Z425" s="315" t="str">
        <f t="shared" ca="1" si="197"/>
        <v/>
      </c>
      <c r="AA425" s="316" t="str">
        <f t="shared" ca="1" si="198"/>
        <v/>
      </c>
      <c r="AC425" s="310" t="e">
        <f t="shared" ca="1" si="199"/>
        <v>#N/A</v>
      </c>
      <c r="AD425" s="323" t="e">
        <f t="shared" ca="1" si="200"/>
        <v>#N/A</v>
      </c>
      <c r="AE425" s="324">
        <f t="shared" ca="1" si="179"/>
        <v>495.88477252045203</v>
      </c>
      <c r="AG425" s="306">
        <f t="shared" ca="1" si="201"/>
        <v>22.514040152198437</v>
      </c>
      <c r="AH425" s="304">
        <f t="shared" ca="1" si="202"/>
        <v>32.003092572463856</v>
      </c>
    </row>
    <row r="426" spans="1:34" x14ac:dyDescent="0.25">
      <c r="A426" s="347">
        <f t="shared" ca="1" si="180"/>
        <v>0.01</v>
      </c>
      <c r="B426" s="304">
        <f t="shared" ca="1" si="181"/>
        <v>4.2199999999999545</v>
      </c>
      <c r="D426" s="306">
        <f t="shared" ca="1" si="182"/>
        <v>7.9151976093638927</v>
      </c>
      <c r="E426" s="307">
        <f t="shared" ca="1" si="183"/>
        <v>20.354362590868874</v>
      </c>
      <c r="F426" s="304">
        <f t="shared" ca="1" si="184"/>
        <v>21.839194803743158</v>
      </c>
      <c r="G426" s="306">
        <f t="shared" ca="1" si="185"/>
        <v>54.491479114121304</v>
      </c>
      <c r="H426" s="307">
        <f t="shared" ca="1" si="186"/>
        <v>207.56579106528065</v>
      </c>
      <c r="I426" s="304">
        <f t="shared" ca="1" si="187"/>
        <v>214.59934509825621</v>
      </c>
      <c r="J426" s="306">
        <f t="shared" ca="1" si="188"/>
        <v>119.58461912910943</v>
      </c>
      <c r="K426" s="307">
        <f t="shared" ca="1" si="189"/>
        <v>497.95941271297528</v>
      </c>
      <c r="L426" s="304">
        <f t="shared" ca="1" si="174"/>
        <v>512.11723056513665</v>
      </c>
      <c r="M426" s="306">
        <f t="shared" ca="1" si="190"/>
        <v>1.3140633920242941</v>
      </c>
      <c r="N426" s="304">
        <f t="shared" ca="1" si="191"/>
        <v>75.29028637563701</v>
      </c>
      <c r="P426" s="310">
        <f t="shared" ca="1" si="192"/>
        <v>16</v>
      </c>
      <c r="Q426" s="304">
        <f t="shared" ca="1" si="193"/>
        <v>511.09583333337923</v>
      </c>
      <c r="R426" s="306">
        <f t="shared" ca="1" si="194"/>
        <v>0.25602439131807087</v>
      </c>
      <c r="S426" s="307">
        <f t="shared" ca="1" si="195"/>
        <v>12.465842863961843</v>
      </c>
      <c r="T426" s="304">
        <f t="shared" ca="1" si="175"/>
        <v>122.28991849546568</v>
      </c>
      <c r="U426" s="311">
        <f t="shared" ca="1" si="176"/>
        <v>0</v>
      </c>
      <c r="V426" s="306">
        <f t="shared" ca="1" si="177"/>
        <v>1.1654818530184945</v>
      </c>
      <c r="W426" s="304">
        <f t="shared" ca="1" si="178"/>
        <v>122.56386365467476</v>
      </c>
      <c r="Y426" s="314" t="str">
        <f t="shared" ca="1" si="196"/>
        <v/>
      </c>
      <c r="Z426" s="315" t="str">
        <f t="shared" ca="1" si="197"/>
        <v/>
      </c>
      <c r="AA426" s="316" t="str">
        <f t="shared" ca="1" si="198"/>
        <v/>
      </c>
      <c r="AC426" s="310" t="e">
        <f t="shared" ca="1" si="199"/>
        <v>#N/A</v>
      </c>
      <c r="AD426" s="323" t="e">
        <f t="shared" ca="1" si="200"/>
        <v>#N/A</v>
      </c>
      <c r="AE426" s="324">
        <f t="shared" ca="1" si="179"/>
        <v>497.95941271297528</v>
      </c>
      <c r="AG426" s="306">
        <f t="shared" ca="1" si="201"/>
        <v>21.696796104110902</v>
      </c>
      <c r="AH426" s="304">
        <f t="shared" ca="1" si="202"/>
        <v>31.185559538169095</v>
      </c>
    </row>
    <row r="427" spans="1:34" x14ac:dyDescent="0.25">
      <c r="A427" s="347">
        <f t="shared" ca="1" si="180"/>
        <v>0.01</v>
      </c>
      <c r="B427" s="304">
        <f t="shared" ca="1" si="181"/>
        <v>4.2299999999999542</v>
      </c>
      <c r="D427" s="306">
        <f t="shared" ca="1" si="182"/>
        <v>7.7111786606848787</v>
      </c>
      <c r="E427" s="307">
        <f t="shared" ca="1" si="183"/>
        <v>19.562975826159636</v>
      </c>
      <c r="F427" s="304">
        <f t="shared" ca="1" si="184"/>
        <v>21.027893368378777</v>
      </c>
      <c r="G427" s="306">
        <f t="shared" ca="1" si="185"/>
        <v>54.568590900728154</v>
      </c>
      <c r="H427" s="307">
        <f t="shared" ca="1" si="186"/>
        <v>207.76142082354224</v>
      </c>
      <c r="I427" s="304">
        <f t="shared" ca="1" si="187"/>
        <v>214.80814485374626</v>
      </c>
      <c r="J427" s="306">
        <f t="shared" ca="1" si="188"/>
        <v>120.12991947918367</v>
      </c>
      <c r="K427" s="307">
        <f t="shared" ca="1" si="189"/>
        <v>500.03604877241941</v>
      </c>
      <c r="L427" s="304">
        <f t="shared" ca="1" si="174"/>
        <v>514.26379186756719</v>
      </c>
      <c r="M427" s="306">
        <f t="shared" ca="1" si="190"/>
        <v>1.3139474292843625</v>
      </c>
      <c r="N427" s="304">
        <f t="shared" ca="1" si="191"/>
        <v>75.283642200058154</v>
      </c>
      <c r="P427" s="310">
        <f t="shared" ca="1" si="192"/>
        <v>16</v>
      </c>
      <c r="Q427" s="304">
        <f t="shared" ca="1" si="193"/>
        <v>501.05416666671272</v>
      </c>
      <c r="R427" s="306">
        <f t="shared" ca="1" si="194"/>
        <v>0.2509941965317336</v>
      </c>
      <c r="S427" s="307">
        <f t="shared" ca="1" si="195"/>
        <v>12.463332921996525</v>
      </c>
      <c r="T427" s="304">
        <f t="shared" ca="1" si="175"/>
        <v>122.26529596478592</v>
      </c>
      <c r="U427" s="311">
        <f t="shared" ca="1" si="176"/>
        <v>0</v>
      </c>
      <c r="V427" s="306">
        <f t="shared" ca="1" si="177"/>
        <v>1.1652396992581977</v>
      </c>
      <c r="W427" s="304">
        <f t="shared" ca="1" si="178"/>
        <v>122.77696794560175</v>
      </c>
      <c r="Y427" s="314" t="str">
        <f t="shared" ca="1" si="196"/>
        <v/>
      </c>
      <c r="Z427" s="315" t="str">
        <f t="shared" ca="1" si="197"/>
        <v/>
      </c>
      <c r="AA427" s="316" t="str">
        <f t="shared" ca="1" si="198"/>
        <v/>
      </c>
      <c r="AC427" s="310" t="e">
        <f t="shared" ca="1" si="199"/>
        <v>#N/A</v>
      </c>
      <c r="AD427" s="323" t="e">
        <f t="shared" ca="1" si="200"/>
        <v>#N/A</v>
      </c>
      <c r="AE427" s="324">
        <f t="shared" ca="1" si="179"/>
        <v>500.03604877241941</v>
      </c>
      <c r="AG427" s="306">
        <f t="shared" ca="1" si="201"/>
        <v>20.879831118916897</v>
      </c>
      <c r="AH427" s="304">
        <f t="shared" ca="1" si="202"/>
        <v>30.368305603394479</v>
      </c>
    </row>
    <row r="428" spans="1:34" x14ac:dyDescent="0.25">
      <c r="A428" s="347">
        <f t="shared" ca="1" si="180"/>
        <v>0.01</v>
      </c>
      <c r="B428" s="304">
        <f t="shared" ca="1" si="181"/>
        <v>4.239999999999954</v>
      </c>
      <c r="D428" s="306">
        <f t="shared" ca="1" si="182"/>
        <v>7.5070482598815573</v>
      </c>
      <c r="E428" s="307">
        <f t="shared" ca="1" si="183"/>
        <v>18.771918406162847</v>
      </c>
      <c r="F428" s="304">
        <f t="shared" ca="1" si="184"/>
        <v>20.217336476989896</v>
      </c>
      <c r="G428" s="306">
        <f t="shared" ca="1" si="185"/>
        <v>54.643661383326972</v>
      </c>
      <c r="H428" s="307">
        <f t="shared" ca="1" si="186"/>
        <v>207.94914000760386</v>
      </c>
      <c r="I428" s="304">
        <f t="shared" ca="1" si="187"/>
        <v>215.00877786564374</v>
      </c>
      <c r="J428" s="306">
        <f t="shared" ca="1" si="188"/>
        <v>120.67598074060395</v>
      </c>
      <c r="K428" s="307">
        <f t="shared" ca="1" si="189"/>
        <v>502.11460157657513</v>
      </c>
      <c r="L428" s="304">
        <f t="shared" ca="1" si="174"/>
        <v>516.41239861578595</v>
      </c>
      <c r="M428" s="306">
        <f t="shared" ca="1" si="190"/>
        <v>1.3138315235794342</v>
      </c>
      <c r="N428" s="304">
        <f t="shared" ca="1" si="191"/>
        <v>75.277001292344281</v>
      </c>
      <c r="P428" s="310">
        <f t="shared" ca="1" si="192"/>
        <v>16</v>
      </c>
      <c r="Q428" s="304">
        <f t="shared" ca="1" si="193"/>
        <v>491.0125000000462</v>
      </c>
      <c r="R428" s="306">
        <f t="shared" ca="1" si="194"/>
        <v>0.24596400174539634</v>
      </c>
      <c r="S428" s="307">
        <f t="shared" ca="1" si="195"/>
        <v>12.460873281979071</v>
      </c>
      <c r="T428" s="304">
        <f t="shared" ca="1" si="175"/>
        <v>122.24116689621469</v>
      </c>
      <c r="U428" s="311">
        <f t="shared" ca="1" si="176"/>
        <v>0</v>
      </c>
      <c r="V428" s="306">
        <f t="shared" ca="1" si="177"/>
        <v>1.1649973711117583</v>
      </c>
      <c r="W428" s="304">
        <f t="shared" ca="1" si="178"/>
        <v>122.98084401621236</v>
      </c>
      <c r="Y428" s="314" t="str">
        <f t="shared" ca="1" si="196"/>
        <v/>
      </c>
      <c r="Z428" s="315" t="str">
        <f t="shared" ca="1" si="197"/>
        <v/>
      </c>
      <c r="AA428" s="316" t="str">
        <f t="shared" ca="1" si="198"/>
        <v/>
      </c>
      <c r="AC428" s="310" t="e">
        <f t="shared" ca="1" si="199"/>
        <v>#N/A</v>
      </c>
      <c r="AD428" s="323" t="e">
        <f t="shared" ca="1" si="200"/>
        <v>#N/A</v>
      </c>
      <c r="AE428" s="324">
        <f t="shared" ca="1" si="179"/>
        <v>502.11460157657513</v>
      </c>
      <c r="AG428" s="306">
        <f t="shared" ca="1" si="201"/>
        <v>20.063156766927108</v>
      </c>
      <c r="AH428" s="304">
        <f t="shared" ca="1" si="202"/>
        <v>29.551342327426369</v>
      </c>
    </row>
    <row r="429" spans="1:34" x14ac:dyDescent="0.25">
      <c r="A429" s="347">
        <f t="shared" ca="1" si="180"/>
        <v>0.01</v>
      </c>
      <c r="B429" s="304">
        <f t="shared" ca="1" si="181"/>
        <v>4.2499999999999538</v>
      </c>
      <c r="D429" s="306">
        <f t="shared" ca="1" si="182"/>
        <v>7.302809696842111</v>
      </c>
      <c r="E429" s="307">
        <f t="shared" ca="1" si="183"/>
        <v>17.981201351688178</v>
      </c>
      <c r="F429" s="304">
        <f t="shared" ca="1" si="184"/>
        <v>19.407592110260456</v>
      </c>
      <c r="G429" s="306">
        <f t="shared" ca="1" si="185"/>
        <v>54.716689480295393</v>
      </c>
      <c r="H429" s="307">
        <f t="shared" ca="1" si="186"/>
        <v>208.12895202112074</v>
      </c>
      <c r="I429" s="304">
        <f t="shared" ca="1" si="187"/>
        <v>215.2012471550596</v>
      </c>
      <c r="J429" s="306">
        <f t="shared" ca="1" si="188"/>
        <v>121.22278249492206</v>
      </c>
      <c r="K429" s="307">
        <f t="shared" ca="1" si="189"/>
        <v>504.19499203671876</v>
      </c>
      <c r="L429" s="304">
        <f t="shared" ca="1" si="174"/>
        <v>518.56296916644374</v>
      </c>
      <c r="M429" s="306">
        <f t="shared" ca="1" si="190"/>
        <v>1.3137156704351107</v>
      </c>
      <c r="N429" s="304">
        <f t="shared" ca="1" si="191"/>
        <v>75.270363396131231</v>
      </c>
      <c r="P429" s="310">
        <f t="shared" ca="1" si="192"/>
        <v>16</v>
      </c>
      <c r="Q429" s="304">
        <f t="shared" ca="1" si="193"/>
        <v>480.97083333337969</v>
      </c>
      <c r="R429" s="306">
        <f t="shared" ca="1" si="194"/>
        <v>0.24093380695905908</v>
      </c>
      <c r="S429" s="307">
        <f t="shared" ca="1" si="195"/>
        <v>12.45846394390948</v>
      </c>
      <c r="T429" s="304">
        <f t="shared" ca="1" si="175"/>
        <v>122.217531289752</v>
      </c>
      <c r="U429" s="311">
        <f t="shared" ca="1" si="176"/>
        <v>0</v>
      </c>
      <c r="V429" s="306">
        <f t="shared" ca="1" si="177"/>
        <v>1.1647548779179233</v>
      </c>
      <c r="W429" s="304">
        <f t="shared" ca="1" si="178"/>
        <v>123.17547574681433</v>
      </c>
      <c r="Y429" s="314" t="str">
        <f t="shared" ca="1" si="196"/>
        <v/>
      </c>
      <c r="Z429" s="315" t="str">
        <f t="shared" ca="1" si="197"/>
        <v/>
      </c>
      <c r="AA429" s="316" t="str">
        <f t="shared" ca="1" si="198"/>
        <v/>
      </c>
      <c r="AC429" s="310" t="e">
        <f t="shared" ca="1" si="199"/>
        <v>#N/A</v>
      </c>
      <c r="AD429" s="323" t="e">
        <f t="shared" ca="1" si="200"/>
        <v>#N/A</v>
      </c>
      <c r="AE429" s="324">
        <f t="shared" ca="1" si="179"/>
        <v>504.19499203671876</v>
      </c>
      <c r="AG429" s="306">
        <f t="shared" ca="1" si="201"/>
        <v>19.246784520556474</v>
      </c>
      <c r="AH429" s="304">
        <f t="shared" ca="1" si="202"/>
        <v>28.73468117168461</v>
      </c>
    </row>
    <row r="430" spans="1:34" x14ac:dyDescent="0.25">
      <c r="A430" s="347">
        <f t="shared" ca="1" si="180"/>
        <v>0.01</v>
      </c>
      <c r="B430" s="304">
        <f t="shared" ca="1" si="181"/>
        <v>4.2599999999999536</v>
      </c>
      <c r="D430" s="306">
        <f t="shared" ca="1" si="182"/>
        <v>7.09846622680901</v>
      </c>
      <c r="E430" s="307">
        <f t="shared" ca="1" si="183"/>
        <v>17.190835591033313</v>
      </c>
      <c r="F430" s="304">
        <f t="shared" ca="1" si="184"/>
        <v>18.598737889735578</v>
      </c>
      <c r="G430" s="306">
        <f t="shared" ca="1" si="185"/>
        <v>54.787674142563482</v>
      </c>
      <c r="H430" s="307">
        <f t="shared" ca="1" si="186"/>
        <v>208.30086037703109</v>
      </c>
      <c r="I430" s="304">
        <f t="shared" ca="1" si="187"/>
        <v>215.38555585684736</v>
      </c>
      <c r="J430" s="306">
        <f t="shared" ca="1" si="188"/>
        <v>121.77030431303635</v>
      </c>
      <c r="K430" s="307">
        <f t="shared" ca="1" si="189"/>
        <v>506.27714109870954</v>
      </c>
      <c r="L430" s="304">
        <f t="shared" ca="1" si="174"/>
        <v>520.71542190679554</v>
      </c>
      <c r="M430" s="306">
        <f t="shared" ca="1" si="190"/>
        <v>1.313599865394679</v>
      </c>
      <c r="N430" s="304">
        <f t="shared" ca="1" si="191"/>
        <v>75.263728256068148</v>
      </c>
      <c r="P430" s="310">
        <f t="shared" ca="1" si="192"/>
        <v>16</v>
      </c>
      <c r="Q430" s="304">
        <f t="shared" ca="1" si="193"/>
        <v>470.92916666671312</v>
      </c>
      <c r="R430" s="306">
        <f t="shared" ca="1" si="194"/>
        <v>0.23590361217272182</v>
      </c>
      <c r="S430" s="307">
        <f t="shared" ca="1" si="195"/>
        <v>12.456104907787752</v>
      </c>
      <c r="T430" s="304">
        <f t="shared" ca="1" si="175"/>
        <v>122.19438914539786</v>
      </c>
      <c r="U430" s="311">
        <f t="shared" ca="1" si="176"/>
        <v>0</v>
      </c>
      <c r="V430" s="306">
        <f t="shared" ca="1" si="177"/>
        <v>1.1645122290039733</v>
      </c>
      <c r="W430" s="304">
        <f t="shared" ca="1" si="178"/>
        <v>123.36084825662461</v>
      </c>
      <c r="Y430" s="314" t="str">
        <f t="shared" ca="1" si="196"/>
        <v/>
      </c>
      <c r="Z430" s="315" t="str">
        <f t="shared" ca="1" si="197"/>
        <v/>
      </c>
      <c r="AA430" s="316" t="str">
        <f t="shared" ca="1" si="198"/>
        <v/>
      </c>
      <c r="AC430" s="310" t="e">
        <f t="shared" ca="1" si="199"/>
        <v>#N/A</v>
      </c>
      <c r="AD430" s="323" t="e">
        <f t="shared" ca="1" si="200"/>
        <v>#N/A</v>
      </c>
      <c r="AE430" s="324">
        <f t="shared" ca="1" si="179"/>
        <v>506.27714109870954</v>
      </c>
      <c r="AG430" s="306">
        <f t="shared" ca="1" si="201"/>
        <v>18.430725754065719</v>
      </c>
      <c r="AH430" s="304">
        <f t="shared" ca="1" si="202"/>
        <v>27.918333499461593</v>
      </c>
    </row>
    <row r="431" spans="1:34" x14ac:dyDescent="0.25">
      <c r="A431" s="347">
        <f t="shared" ca="1" si="180"/>
        <v>0.01</v>
      </c>
      <c r="B431" s="304">
        <f t="shared" ca="1" si="181"/>
        <v>4.2699999999999534</v>
      </c>
      <c r="D431" s="306">
        <f t="shared" ca="1" si="182"/>
        <v>6.894021070370508</v>
      </c>
      <c r="E431" s="307">
        <f t="shared" ca="1" si="183"/>
        <v>16.400831959736976</v>
      </c>
      <c r="F431" s="304">
        <f t="shared" ca="1" si="184"/>
        <v>17.790863258713511</v>
      </c>
      <c r="G431" s="306">
        <f t="shared" ca="1" si="185"/>
        <v>54.85661435326719</v>
      </c>
      <c r="H431" s="307">
        <f t="shared" ca="1" si="186"/>
        <v>208.46486869662846</v>
      </c>
      <c r="I431" s="304">
        <f t="shared" ca="1" si="187"/>
        <v>215.56170721861901</v>
      </c>
      <c r="J431" s="306">
        <f t="shared" ca="1" si="188"/>
        <v>122.31852575551549</v>
      </c>
      <c r="K431" s="307">
        <f t="shared" ca="1" si="189"/>
        <v>508.36096974407781</v>
      </c>
      <c r="L431" s="304">
        <f t="shared" ca="1" si="174"/>
        <v>522.86967525583452</v>
      </c>
      <c r="M431" s="306">
        <f t="shared" ca="1" si="190"/>
        <v>1.3134841040181009</v>
      </c>
      <c r="N431" s="304">
        <f t="shared" ca="1" si="191"/>
        <v>75.257095617759603</v>
      </c>
      <c r="P431" s="310">
        <f t="shared" ca="1" si="192"/>
        <v>16</v>
      </c>
      <c r="Q431" s="304">
        <f t="shared" ca="1" si="193"/>
        <v>460.8875000000466</v>
      </c>
      <c r="R431" s="306">
        <f t="shared" ca="1" si="194"/>
        <v>0.23087341738638456</v>
      </c>
      <c r="S431" s="307">
        <f t="shared" ca="1" si="195"/>
        <v>12.453796173613888</v>
      </c>
      <c r="T431" s="304">
        <f t="shared" ca="1" si="175"/>
        <v>122.17174046315225</v>
      </c>
      <c r="U431" s="311">
        <f t="shared" ca="1" si="176"/>
        <v>0</v>
      </c>
      <c r="V431" s="306">
        <f t="shared" ca="1" si="177"/>
        <v>1.1642694336855859</v>
      </c>
      <c r="W431" s="304">
        <f t="shared" ca="1" si="178"/>
        <v>123.53694789987902</v>
      </c>
      <c r="Y431" s="314" t="str">
        <f t="shared" ca="1" si="196"/>
        <v/>
      </c>
      <c r="Z431" s="315" t="str">
        <f t="shared" ca="1" si="197"/>
        <v/>
      </c>
      <c r="AA431" s="316" t="str">
        <f t="shared" ca="1" si="198"/>
        <v/>
      </c>
      <c r="AC431" s="310" t="e">
        <f t="shared" ca="1" si="199"/>
        <v>#N/A</v>
      </c>
      <c r="AD431" s="323" t="e">
        <f t="shared" ca="1" si="200"/>
        <v>#N/A</v>
      </c>
      <c r="AE431" s="324">
        <f t="shared" ca="1" si="179"/>
        <v>508.36096974407781</v>
      </c>
      <c r="AG431" s="306">
        <f t="shared" ca="1" si="201"/>
        <v>17.614991743315315</v>
      </c>
      <c r="AH431" s="304">
        <f t="shared" ca="1" si="202"/>
        <v>27.102310575673833</v>
      </c>
    </row>
    <row r="432" spans="1:34" x14ac:dyDescent="0.25">
      <c r="A432" s="347">
        <f t="shared" ca="1" si="180"/>
        <v>0.01</v>
      </c>
      <c r="B432" s="304">
        <f t="shared" ca="1" si="181"/>
        <v>4.2799999999999532</v>
      </c>
      <c r="D432" s="306">
        <f t="shared" ca="1" si="182"/>
        <v>6.6894774134511046</v>
      </c>
      <c r="E432" s="307">
        <f t="shared" ca="1" si="183"/>
        <v>15.611201200345151</v>
      </c>
      <c r="F432" s="304">
        <f t="shared" ca="1" si="184"/>
        <v>16.984072273242671</v>
      </c>
      <c r="G432" s="306">
        <f t="shared" ca="1" si="185"/>
        <v>54.923509127401701</v>
      </c>
      <c r="H432" s="307">
        <f t="shared" ca="1" si="186"/>
        <v>208.62098070863192</v>
      </c>
      <c r="I432" s="304">
        <f t="shared" ca="1" si="187"/>
        <v>215.72970459975872</v>
      </c>
      <c r="J432" s="306">
        <f t="shared" ca="1" si="188"/>
        <v>122.86742637291884</v>
      </c>
      <c r="K432" s="307">
        <f t="shared" ca="1" si="189"/>
        <v>510.4463989911041</v>
      </c>
      <c r="L432" s="304">
        <f t="shared" ca="1" si="174"/>
        <v>525.0256476654165</v>
      </c>
      <c r="M432" s="306">
        <f t="shared" ca="1" si="190"/>
        <v>1.3133683818810167</v>
      </c>
      <c r="N432" s="304">
        <f t="shared" ca="1" si="191"/>
        <v>75.250465227708432</v>
      </c>
      <c r="P432" s="310">
        <f t="shared" ca="1" si="192"/>
        <v>16</v>
      </c>
      <c r="Q432" s="304">
        <f t="shared" ca="1" si="193"/>
        <v>450.84583333338009</v>
      </c>
      <c r="R432" s="306">
        <f t="shared" ca="1" si="194"/>
        <v>0.22584322260004733</v>
      </c>
      <c r="S432" s="307">
        <f t="shared" ca="1" si="195"/>
        <v>12.451537741387888</v>
      </c>
      <c r="T432" s="304">
        <f t="shared" ca="1" si="175"/>
        <v>122.14958524301518</v>
      </c>
      <c r="U432" s="311">
        <f t="shared" ca="1" si="176"/>
        <v>0</v>
      </c>
      <c r="V432" s="306">
        <f t="shared" ca="1" si="177"/>
        <v>1.1640265012667046</v>
      </c>
      <c r="W432" s="304">
        <f t="shared" ca="1" si="178"/>
        <v>123.70376226185952</v>
      </c>
      <c r="Y432" s="314" t="str">
        <f t="shared" ca="1" si="196"/>
        <v/>
      </c>
      <c r="Z432" s="315" t="str">
        <f t="shared" ca="1" si="197"/>
        <v/>
      </c>
      <c r="AA432" s="316" t="str">
        <f t="shared" ca="1" si="198"/>
        <v/>
      </c>
      <c r="AC432" s="310" t="e">
        <f t="shared" ca="1" si="199"/>
        <v>#N/A</v>
      </c>
      <c r="AD432" s="323" t="e">
        <f t="shared" ca="1" si="200"/>
        <v>#N/A</v>
      </c>
      <c r="AE432" s="324">
        <f t="shared" ca="1" si="179"/>
        <v>510.4463989911041</v>
      </c>
      <c r="AG432" s="306">
        <f t="shared" ca="1" si="201"/>
        <v>16.799593665532015</v>
      </c>
      <c r="AH432" s="304">
        <f t="shared" ca="1" si="202"/>
        <v>26.286623566626091</v>
      </c>
    </row>
    <row r="433" spans="1:34" x14ac:dyDescent="0.25">
      <c r="A433" s="347">
        <f t="shared" ca="1" si="180"/>
        <v>0.01</v>
      </c>
      <c r="B433" s="304">
        <f t="shared" ca="1" si="181"/>
        <v>4.289999999999953</v>
      </c>
      <c r="D433" s="306">
        <f t="shared" ca="1" si="182"/>
        <v>6.4848384073008329</v>
      </c>
      <c r="E433" s="307">
        <f t="shared" ca="1" si="183"/>
        <v>14.821953962190383</v>
      </c>
      <c r="F433" s="304">
        <f t="shared" ca="1" si="184"/>
        <v>16.178487210678728</v>
      </c>
      <c r="G433" s="306">
        <f t="shared" ca="1" si="185"/>
        <v>54.98835751147471</v>
      </c>
      <c r="H433" s="307">
        <f t="shared" ca="1" si="186"/>
        <v>208.76920024825381</v>
      </c>
      <c r="I433" s="304">
        <f t="shared" ca="1" si="187"/>
        <v>215.88955147043421</v>
      </c>
      <c r="J433" s="306">
        <f t="shared" ca="1" si="188"/>
        <v>123.41698570611322</v>
      </c>
      <c r="K433" s="307">
        <f t="shared" ca="1" si="189"/>
        <v>512.53334989588848</v>
      </c>
      <c r="L433" s="304">
        <f t="shared" ca="1" si="174"/>
        <v>527.1832576213742</v>
      </c>
      <c r="M433" s="306">
        <f t="shared" ca="1" si="190"/>
        <v>1.3132526945737559</v>
      </c>
      <c r="N433" s="304">
        <f t="shared" ca="1" si="191"/>
        <v>75.243836833259166</v>
      </c>
      <c r="P433" s="310">
        <f t="shared" ca="1" si="192"/>
        <v>16</v>
      </c>
      <c r="Q433" s="304">
        <f t="shared" ca="1" si="193"/>
        <v>440.80416666671357</v>
      </c>
      <c r="R433" s="306">
        <f t="shared" ca="1" si="194"/>
        <v>0.22081302781371007</v>
      </c>
      <c r="S433" s="307">
        <f t="shared" ca="1" si="195"/>
        <v>12.449329611109752</v>
      </c>
      <c r="T433" s="304">
        <f t="shared" ca="1" si="175"/>
        <v>122.12792348498667</v>
      </c>
      <c r="U433" s="311">
        <f t="shared" ca="1" si="176"/>
        <v>0</v>
      </c>
      <c r="V433" s="306">
        <f t="shared" ca="1" si="177"/>
        <v>1.1637834410394121</v>
      </c>
      <c r="W433" s="304">
        <f t="shared" ca="1" si="178"/>
        <v>123.86128015483914</v>
      </c>
      <c r="Y433" s="314" t="str">
        <f t="shared" ca="1" si="196"/>
        <v/>
      </c>
      <c r="Z433" s="315" t="str">
        <f t="shared" ca="1" si="197"/>
        <v/>
      </c>
      <c r="AA433" s="316" t="str">
        <f t="shared" ca="1" si="198"/>
        <v/>
      </c>
      <c r="AC433" s="310" t="e">
        <f t="shared" ca="1" si="199"/>
        <v>#N/A</v>
      </c>
      <c r="AD433" s="323" t="e">
        <f t="shared" ca="1" si="200"/>
        <v>#N/A</v>
      </c>
      <c r="AE433" s="324">
        <f t="shared" ca="1" si="179"/>
        <v>512.53334989588848</v>
      </c>
      <c r="AG433" s="306">
        <f t="shared" ca="1" si="201"/>
        <v>15.984542599087764</v>
      </c>
      <c r="AH433" s="304">
        <f t="shared" ca="1" si="202"/>
        <v>25.471283539787908</v>
      </c>
    </row>
    <row r="434" spans="1:34" x14ac:dyDescent="0.25">
      <c r="A434" s="347">
        <f t="shared" ca="1" si="180"/>
        <v>0.01</v>
      </c>
      <c r="B434" s="304">
        <f t="shared" ca="1" si="181"/>
        <v>4.2999999999999527</v>
      </c>
      <c r="D434" s="306">
        <f t="shared" ca="1" si="182"/>
        <v>6.280107168483541</v>
      </c>
      <c r="E434" s="307">
        <f t="shared" ca="1" si="183"/>
        <v>14.033100801183982</v>
      </c>
      <c r="F434" s="304">
        <f t="shared" ca="1" si="184"/>
        <v>15.374253287357694</v>
      </c>
      <c r="G434" s="306">
        <f t="shared" ca="1" si="185"/>
        <v>55.051158583159548</v>
      </c>
      <c r="H434" s="307">
        <f t="shared" ca="1" si="186"/>
        <v>208.90953125626564</v>
      </c>
      <c r="I434" s="304">
        <f t="shared" ca="1" si="187"/>
        <v>216.04125141060632</v>
      </c>
      <c r="J434" s="306">
        <f t="shared" ca="1" si="188"/>
        <v>123.96718328658639</v>
      </c>
      <c r="K434" s="307">
        <f t="shared" ca="1" si="189"/>
        <v>514.62174355341108</v>
      </c>
      <c r="L434" s="304">
        <f t="shared" ca="1" si="174"/>
        <v>529.34242364462239</v>
      </c>
      <c r="M434" s="306">
        <f t="shared" ca="1" si="190"/>
        <v>1.3131370377003571</v>
      </c>
      <c r="N434" s="304">
        <f t="shared" ca="1" si="191"/>
        <v>75.23721018254173</v>
      </c>
      <c r="P434" s="310">
        <f t="shared" ca="1" si="192"/>
        <v>16</v>
      </c>
      <c r="Q434" s="304">
        <f t="shared" ca="1" si="193"/>
        <v>430.76250000004705</v>
      </c>
      <c r="R434" s="306">
        <f t="shared" ca="1" si="194"/>
        <v>0.21578283302737283</v>
      </c>
      <c r="S434" s="307">
        <f t="shared" ca="1" si="195"/>
        <v>12.447171782779478</v>
      </c>
      <c r="T434" s="304">
        <f t="shared" ca="1" si="175"/>
        <v>122.10675518906669</v>
      </c>
      <c r="U434" s="311">
        <f t="shared" ca="1" si="176"/>
        <v>0</v>
      </c>
      <c r="V434" s="306">
        <f t="shared" ca="1" si="177"/>
        <v>1.1635402622837994</v>
      </c>
      <c r="W434" s="304">
        <f t="shared" ca="1" si="178"/>
        <v>124.00949161394693</v>
      </c>
      <c r="Y434" s="314" t="str">
        <f t="shared" ca="1" si="196"/>
        <v/>
      </c>
      <c r="Z434" s="315" t="str">
        <f t="shared" ca="1" si="197"/>
        <v/>
      </c>
      <c r="AA434" s="316" t="str">
        <f t="shared" ca="1" si="198"/>
        <v/>
      </c>
      <c r="AC434" s="310" t="e">
        <f t="shared" ca="1" si="199"/>
        <v>#N/A</v>
      </c>
      <c r="AD434" s="323" t="e">
        <f t="shared" ca="1" si="200"/>
        <v>#N/A</v>
      </c>
      <c r="AE434" s="324">
        <f t="shared" ca="1" si="179"/>
        <v>514.62174355341108</v>
      </c>
      <c r="AG434" s="306">
        <f t="shared" ca="1" si="201"/>
        <v>15.169849523290926</v>
      </c>
      <c r="AH434" s="304">
        <f t="shared" ca="1" si="202"/>
        <v>24.656301463582462</v>
      </c>
    </row>
    <row r="435" spans="1:34" x14ac:dyDescent="0.25">
      <c r="A435" s="347">
        <f t="shared" ca="1" si="180"/>
        <v>0.01</v>
      </c>
      <c r="B435" s="304">
        <f t="shared" ca="1" si="181"/>
        <v>4.3099999999999525</v>
      </c>
      <c r="D435" s="306">
        <f t="shared" ca="1" si="182"/>
        <v>6.0752867788641796</v>
      </c>
      <c r="E435" s="307">
        <f t="shared" ca="1" si="183"/>
        <v>13.244652179621047</v>
      </c>
      <c r="F435" s="304">
        <f t="shared" ca="1" si="184"/>
        <v>14.571544901093448</v>
      </c>
      <c r="G435" s="306">
        <f t="shared" ca="1" si="185"/>
        <v>55.111911450948192</v>
      </c>
      <c r="H435" s="307">
        <f t="shared" ca="1" si="186"/>
        <v>209.04197777806183</v>
      </c>
      <c r="I435" s="304">
        <f t="shared" ca="1" si="187"/>
        <v>216.18480810903631</v>
      </c>
      <c r="J435" s="306">
        <f t="shared" ca="1" si="188"/>
        <v>124.51799863675693</v>
      </c>
      <c r="K435" s="307">
        <f t="shared" ca="1" si="189"/>
        <v>516.71150109858274</v>
      </c>
      <c r="L435" s="304">
        <f t="shared" ca="1" si="174"/>
        <v>531.50306429225225</v>
      </c>
      <c r="M435" s="306">
        <f t="shared" ca="1" si="190"/>
        <v>1.3130214068775969</v>
      </c>
      <c r="N435" s="304">
        <f t="shared" ca="1" si="191"/>
        <v>75.230585024415944</v>
      </c>
      <c r="P435" s="310">
        <f t="shared" ca="1" si="192"/>
        <v>16</v>
      </c>
      <c r="Q435" s="304">
        <f t="shared" ca="1" si="193"/>
        <v>420.72083333338054</v>
      </c>
      <c r="R435" s="306">
        <f t="shared" ca="1" si="194"/>
        <v>0.21075263824103557</v>
      </c>
      <c r="S435" s="307">
        <f t="shared" ca="1" si="195"/>
        <v>12.445064256397067</v>
      </c>
      <c r="T435" s="304">
        <f t="shared" ca="1" si="175"/>
        <v>122.08608035525523</v>
      </c>
      <c r="U435" s="311">
        <f t="shared" ca="1" si="176"/>
        <v>0</v>
      </c>
      <c r="V435" s="306">
        <f t="shared" ca="1" si="177"/>
        <v>1.163296974267843</v>
      </c>
      <c r="W435" s="304">
        <f t="shared" ca="1" si="178"/>
        <v>124.14838789295452</v>
      </c>
      <c r="Y435" s="314" t="str">
        <f t="shared" ca="1" si="196"/>
        <v/>
      </c>
      <c r="Z435" s="315" t="str">
        <f t="shared" ca="1" si="197"/>
        <v/>
      </c>
      <c r="AA435" s="316" t="str">
        <f t="shared" ca="1" si="198"/>
        <v/>
      </c>
      <c r="AC435" s="310" t="e">
        <f t="shared" ca="1" si="199"/>
        <v>#N/A</v>
      </c>
      <c r="AD435" s="323" t="e">
        <f t="shared" ca="1" si="200"/>
        <v>#N/A</v>
      </c>
      <c r="AE435" s="324">
        <f t="shared" ca="1" si="179"/>
        <v>516.71150109858274</v>
      </c>
      <c r="AG435" s="306">
        <f t="shared" ca="1" si="201"/>
        <v>14.355525318189647</v>
      </c>
      <c r="AH435" s="304">
        <f t="shared" ca="1" si="202"/>
        <v>23.84168820718758</v>
      </c>
    </row>
    <row r="436" spans="1:34" x14ac:dyDescent="0.25">
      <c r="A436" s="347">
        <f t="shared" ca="1" si="180"/>
        <v>0.01</v>
      </c>
      <c r="B436" s="304">
        <f t="shared" ca="1" si="181"/>
        <v>4.3199999999999523</v>
      </c>
      <c r="D436" s="306">
        <f t="shared" ca="1" si="182"/>
        <v>5.8241921237576308</v>
      </c>
      <c r="E436" s="307">
        <f t="shared" ca="1" si="183"/>
        <v>12.281424674924034</v>
      </c>
      <c r="F436" s="304">
        <f t="shared" ca="1" si="184"/>
        <v>13.59244665026401</v>
      </c>
      <c r="G436" s="306">
        <f t="shared" ca="1" si="185"/>
        <v>55.170153372185766</v>
      </c>
      <c r="H436" s="307">
        <f t="shared" ca="1" si="186"/>
        <v>209.16479202481108</v>
      </c>
      <c r="I436" s="304">
        <f t="shared" ca="1" si="187"/>
        <v>216.31841356179777</v>
      </c>
      <c r="J436" s="306">
        <f t="shared" ca="1" si="188"/>
        <v>125.06940896087259</v>
      </c>
      <c r="K436" s="307">
        <f t="shared" ca="1" si="189"/>
        <v>518.80253494759711</v>
      </c>
      <c r="L436" s="304">
        <f t="shared" ca="1" si="174"/>
        <v>533.66508910165248</v>
      </c>
      <c r="M436" s="306">
        <f t="shared" ca="1" si="190"/>
        <v>1.3129057967657292</v>
      </c>
      <c r="N436" s="304">
        <f t="shared" ca="1" si="191"/>
        <v>75.223961052936886</v>
      </c>
      <c r="P436" s="310">
        <f t="shared" ca="1" si="192"/>
        <v>17</v>
      </c>
      <c r="Q436" s="304">
        <f t="shared" ca="1" si="193"/>
        <v>408.42500000006868</v>
      </c>
      <c r="R436" s="306">
        <f t="shared" ca="1" si="194"/>
        <v>0.20459325864997518</v>
      </c>
      <c r="S436" s="307">
        <f t="shared" ca="1" si="195"/>
        <v>12.443018323810568</v>
      </c>
      <c r="T436" s="304">
        <f t="shared" ca="1" si="175"/>
        <v>122.06600975658168</v>
      </c>
      <c r="U436" s="311">
        <f t="shared" ca="1" si="176"/>
        <v>0</v>
      </c>
      <c r="V436" s="306">
        <f t="shared" ca="1" si="177"/>
        <v>1.1630535872667649</v>
      </c>
      <c r="W436" s="304">
        <f t="shared" ca="1" si="178"/>
        <v>124.27587978550304</v>
      </c>
      <c r="Y436" s="314" t="str">
        <f t="shared" ca="1" si="196"/>
        <v/>
      </c>
      <c r="Z436" s="315" t="str">
        <f t="shared" ca="1" si="197"/>
        <v/>
      </c>
      <c r="AA436" s="316" t="str">
        <f t="shared" ca="1" si="198"/>
        <v/>
      </c>
      <c r="AC436" s="310" t="e">
        <f t="shared" ca="1" si="199"/>
        <v>#N/A</v>
      </c>
      <c r="AD436" s="323" t="e">
        <f t="shared" ca="1" si="200"/>
        <v>#N/A</v>
      </c>
      <c r="AE436" s="324">
        <f t="shared" ca="1" si="179"/>
        <v>518.80253494759711</v>
      </c>
      <c r="AG436" s="306">
        <f t="shared" ca="1" si="201"/>
        <v>13.360400713816496</v>
      </c>
      <c r="AH436" s="304">
        <f t="shared" ca="1" si="202"/>
        <v>22.846274489778043</v>
      </c>
    </row>
    <row r="437" spans="1:34" x14ac:dyDescent="0.25">
      <c r="A437" s="347">
        <f t="shared" ca="1" si="180"/>
        <v>0.01</v>
      </c>
      <c r="B437" s="304">
        <f t="shared" ca="1" si="181"/>
        <v>4.3299999999999521</v>
      </c>
      <c r="D437" s="306">
        <f t="shared" ca="1" si="182"/>
        <v>5.526781587398685</v>
      </c>
      <c r="E437" s="307">
        <f t="shared" ca="1" si="183"/>
        <v>11.143505666301211</v>
      </c>
      <c r="F437" s="304">
        <f t="shared" ca="1" si="184"/>
        <v>12.43877137219333</v>
      </c>
      <c r="G437" s="306">
        <f t="shared" ca="1" si="185"/>
        <v>55.225421188059755</v>
      </c>
      <c r="H437" s="307">
        <f t="shared" ca="1" si="186"/>
        <v>209.27622708147408</v>
      </c>
      <c r="I437" s="304">
        <f t="shared" ca="1" si="187"/>
        <v>216.44026050357476</v>
      </c>
      <c r="J437" s="306">
        <f t="shared" ca="1" si="188"/>
        <v>125.62138683367382</v>
      </c>
      <c r="K437" s="307">
        <f t="shared" ca="1" si="189"/>
        <v>520.89474004312854</v>
      </c>
      <c r="L437" s="304">
        <f t="shared" ca="1" si="174"/>
        <v>535.82838953774558</v>
      </c>
      <c r="M437" s="306">
        <f t="shared" ca="1" si="190"/>
        <v>1.3127902010702015</v>
      </c>
      <c r="N437" s="304">
        <f t="shared" ca="1" si="191"/>
        <v>75.21733790745327</v>
      </c>
      <c r="P437" s="310">
        <f t="shared" ca="1" si="192"/>
        <v>17</v>
      </c>
      <c r="Q437" s="304">
        <f t="shared" ca="1" si="193"/>
        <v>393.87500000006906</v>
      </c>
      <c r="R437" s="306">
        <f t="shared" ca="1" si="194"/>
        <v>0.19730469425417044</v>
      </c>
      <c r="S437" s="307">
        <f t="shared" ca="1" si="195"/>
        <v>12.441045276868026</v>
      </c>
      <c r="T437" s="304">
        <f t="shared" ca="1" si="175"/>
        <v>122.04665416607534</v>
      </c>
      <c r="U437" s="311">
        <f t="shared" ca="1" si="176"/>
        <v>0</v>
      </c>
      <c r="V437" s="306">
        <f t="shared" ca="1" si="177"/>
        <v>1.1628101135807016</v>
      </c>
      <c r="W437" s="304">
        <f t="shared" ca="1" si="178"/>
        <v>124.38987718904229</v>
      </c>
      <c r="Y437" s="314" t="str">
        <f t="shared" ca="1" si="196"/>
        <v/>
      </c>
      <c r="Z437" s="315" t="str">
        <f t="shared" ca="1" si="197"/>
        <v/>
      </c>
      <c r="AA437" s="316" t="str">
        <f t="shared" ca="1" si="198"/>
        <v/>
      </c>
      <c r="AC437" s="310" t="e">
        <f t="shared" ca="1" si="199"/>
        <v>#N/A</v>
      </c>
      <c r="AD437" s="323" t="e">
        <f t="shared" ca="1" si="200"/>
        <v>#N/A</v>
      </c>
      <c r="AE437" s="324">
        <f t="shared" ca="1" si="179"/>
        <v>520.89474004312854</v>
      </c>
      <c r="AG437" s="306">
        <f t="shared" ca="1" si="201"/>
        <v>12.184549570014189</v>
      </c>
      <c r="AH437" s="304">
        <f t="shared" ca="1" si="202"/>
        <v>21.670134157926345</v>
      </c>
    </row>
    <row r="438" spans="1:34" x14ac:dyDescent="0.25">
      <c r="A438" s="347">
        <f t="shared" ca="1" si="180"/>
        <v>0.01</v>
      </c>
      <c r="B438" s="304">
        <f t="shared" ca="1" si="181"/>
        <v>4.3399999999999519</v>
      </c>
      <c r="D438" s="306">
        <f t="shared" ca="1" si="182"/>
        <v>5.2292586985261922</v>
      </c>
      <c r="E438" s="307">
        <f t="shared" ca="1" si="183"/>
        <v>10.006227876903038</v>
      </c>
      <c r="F438" s="304">
        <f t="shared" ca="1" si="184"/>
        <v>11.290249902487691</v>
      </c>
      <c r="G438" s="306">
        <f t="shared" ca="1" si="185"/>
        <v>55.277713775045015</v>
      </c>
      <c r="H438" s="307">
        <f t="shared" ca="1" si="186"/>
        <v>209.37628936024311</v>
      </c>
      <c r="I438" s="304">
        <f t="shared" ca="1" si="187"/>
        <v>216.55035485184516</v>
      </c>
      <c r="J438" s="306">
        <f t="shared" ca="1" si="188"/>
        <v>126.17390250848935</v>
      </c>
      <c r="K438" s="307">
        <f t="shared" ca="1" si="189"/>
        <v>522.98800262533712</v>
      </c>
      <c r="L438" s="304">
        <f t="shared" ca="1" si="174"/>
        <v>537.99284806051219</v>
      </c>
      <c r="M438" s="306">
        <f t="shared" ca="1" si="190"/>
        <v>1.3126746135098368</v>
      </c>
      <c r="N438" s="304">
        <f t="shared" ca="1" si="191"/>
        <v>75.210715228080161</v>
      </c>
      <c r="P438" s="310">
        <f t="shared" ca="1" si="192"/>
        <v>17</v>
      </c>
      <c r="Q438" s="304">
        <f t="shared" ca="1" si="193"/>
        <v>379.32500000006945</v>
      </c>
      <c r="R438" s="306">
        <f t="shared" ca="1" si="194"/>
        <v>0.19001612985836566</v>
      </c>
      <c r="S438" s="307">
        <f t="shared" ca="1" si="195"/>
        <v>12.439145115569442</v>
      </c>
      <c r="T438" s="304">
        <f t="shared" ca="1" si="175"/>
        <v>122.02801358373623</v>
      </c>
      <c r="U438" s="311">
        <f t="shared" ca="1" si="176"/>
        <v>0</v>
      </c>
      <c r="V438" s="306">
        <f t="shared" ca="1" si="177"/>
        <v>1.1625665665122364</v>
      </c>
      <c r="W438" s="304">
        <f t="shared" ca="1" si="178"/>
        <v>124.49037390973928</v>
      </c>
      <c r="Y438" s="314" t="str">
        <f t="shared" ca="1" si="196"/>
        <v/>
      </c>
      <c r="Z438" s="315" t="str">
        <f t="shared" ca="1" si="197"/>
        <v/>
      </c>
      <c r="AA438" s="316" t="str">
        <f t="shared" ca="1" si="198"/>
        <v/>
      </c>
      <c r="AC438" s="310" t="e">
        <f t="shared" ca="1" si="199"/>
        <v>#N/A</v>
      </c>
      <c r="AD438" s="323" t="e">
        <f t="shared" ca="1" si="200"/>
        <v>#N/A</v>
      </c>
      <c r="AE438" s="324">
        <f t="shared" ca="1" si="179"/>
        <v>522.98800262533712</v>
      </c>
      <c r="AG438" s="306">
        <f t="shared" ca="1" si="201"/>
        <v>11.009290166160261</v>
      </c>
      <c r="AH438" s="304">
        <f t="shared" ca="1" si="202"/>
        <v>20.494585475326428</v>
      </c>
    </row>
    <row r="439" spans="1:34" x14ac:dyDescent="0.25">
      <c r="A439" s="347">
        <f t="shared" ca="1" si="180"/>
        <v>0.01</v>
      </c>
      <c r="B439" s="304">
        <f t="shared" ca="1" si="181"/>
        <v>4.3499999999999517</v>
      </c>
      <c r="D439" s="306">
        <f t="shared" ca="1" si="182"/>
        <v>4.9316293059352985</v>
      </c>
      <c r="E439" s="307">
        <f t="shared" ca="1" si="183"/>
        <v>8.8696119821278376</v>
      </c>
      <c r="F439" s="304">
        <f t="shared" ca="1" si="184"/>
        <v>10.148447384928671</v>
      </c>
      <c r="G439" s="306">
        <f t="shared" ca="1" si="185"/>
        <v>55.327030068104371</v>
      </c>
      <c r="H439" s="307">
        <f t="shared" ca="1" si="186"/>
        <v>209.46498548006437</v>
      </c>
      <c r="I439" s="304">
        <f t="shared" ca="1" si="187"/>
        <v>216.64870273860515</v>
      </c>
      <c r="J439" s="306">
        <f t="shared" ca="1" si="188"/>
        <v>126.72692622770509</v>
      </c>
      <c r="K439" s="307">
        <f t="shared" ca="1" si="189"/>
        <v>525.08220899953869</v>
      </c>
      <c r="L439" s="304">
        <f t="shared" ca="1" si="174"/>
        <v>540.1583471899304</v>
      </c>
      <c r="M439" s="306">
        <f t="shared" ca="1" si="190"/>
        <v>1.3125590278148795</v>
      </c>
      <c r="N439" s="304">
        <f t="shared" ca="1" si="191"/>
        <v>75.204092655587033</v>
      </c>
      <c r="P439" s="310">
        <f t="shared" ca="1" si="192"/>
        <v>17</v>
      </c>
      <c r="Q439" s="304">
        <f t="shared" ca="1" si="193"/>
        <v>364.77500000006984</v>
      </c>
      <c r="R439" s="306">
        <f t="shared" ca="1" si="194"/>
        <v>0.18272756546256091</v>
      </c>
      <c r="S439" s="307">
        <f t="shared" ca="1" si="195"/>
        <v>12.437317839914817</v>
      </c>
      <c r="T439" s="304">
        <f t="shared" ca="1" si="175"/>
        <v>122.01008800956436</v>
      </c>
      <c r="U439" s="311">
        <f t="shared" ca="1" si="176"/>
        <v>0</v>
      </c>
      <c r="V439" s="306">
        <f t="shared" ca="1" si="177"/>
        <v>1.1623229593455755</v>
      </c>
      <c r="W439" s="304">
        <f t="shared" ca="1" si="178"/>
        <v>124.57736623728434</v>
      </c>
      <c r="Y439" s="314" t="str">
        <f t="shared" ca="1" si="196"/>
        <v/>
      </c>
      <c r="Z439" s="315" t="str">
        <f t="shared" ca="1" si="197"/>
        <v/>
      </c>
      <c r="AA439" s="316" t="str">
        <f t="shared" ca="1" si="198"/>
        <v/>
      </c>
      <c r="AC439" s="310" t="e">
        <f t="shared" ca="1" si="199"/>
        <v>#N/A</v>
      </c>
      <c r="AD439" s="323" t="e">
        <f t="shared" ca="1" si="200"/>
        <v>#N/A</v>
      </c>
      <c r="AE439" s="324">
        <f t="shared" ca="1" si="179"/>
        <v>525.08220899953869</v>
      </c>
      <c r="AG439" s="306">
        <f t="shared" ca="1" si="201"/>
        <v>9.8346439540966966</v>
      </c>
      <c r="AH439" s="304">
        <f t="shared" ca="1" si="202"/>
        <v>19.31964987814256</v>
      </c>
    </row>
    <row r="440" spans="1:34" x14ac:dyDescent="0.25">
      <c r="A440" s="347">
        <f t="shared" ca="1" si="180"/>
        <v>0.01</v>
      </c>
      <c r="B440" s="304">
        <f t="shared" ca="1" si="181"/>
        <v>4.3599999999999515</v>
      </c>
      <c r="D440" s="306">
        <f t="shared" ca="1" si="182"/>
        <v>4.6338991859752321</v>
      </c>
      <c r="E440" s="307">
        <f t="shared" ca="1" si="183"/>
        <v>7.7336784608099034</v>
      </c>
      <c r="F440" s="304">
        <f t="shared" ca="1" si="184"/>
        <v>9.0156976547007694</v>
      </c>
      <c r="G440" s="306">
        <f t="shared" ca="1" si="185"/>
        <v>55.373369059964126</v>
      </c>
      <c r="H440" s="307">
        <f t="shared" ca="1" si="186"/>
        <v>209.54232226467246</v>
      </c>
      <c r="I440" s="304">
        <f t="shared" ca="1" si="187"/>
        <v>216.73531050828529</v>
      </c>
      <c r="J440" s="306">
        <f t="shared" ca="1" si="188"/>
        <v>127.28042822334544</v>
      </c>
      <c r="K440" s="307">
        <f t="shared" ca="1" si="189"/>
        <v>527.17724553826235</v>
      </c>
      <c r="L440" s="304">
        <f t="shared" ca="1" si="174"/>
        <v>542.32476950811269</v>
      </c>
      <c r="M440" s="306">
        <f t="shared" ca="1" si="190"/>
        <v>1.3124434377250522</v>
      </c>
      <c r="N440" s="304">
        <f t="shared" ca="1" si="191"/>
        <v>75.197469831286384</v>
      </c>
      <c r="P440" s="310">
        <f t="shared" ca="1" si="192"/>
        <v>17</v>
      </c>
      <c r="Q440" s="304">
        <f t="shared" ca="1" si="193"/>
        <v>350.22500000007022</v>
      </c>
      <c r="R440" s="306">
        <f t="shared" ca="1" si="194"/>
        <v>0.17543900106675614</v>
      </c>
      <c r="S440" s="307">
        <f t="shared" ca="1" si="195"/>
        <v>12.43556344990415</v>
      </c>
      <c r="T440" s="304">
        <f t="shared" ca="1" si="175"/>
        <v>121.99287744355972</v>
      </c>
      <c r="U440" s="311">
        <f t="shared" ca="1" si="176"/>
        <v>0</v>
      </c>
      <c r="V440" s="306">
        <f t="shared" ca="1" si="177"/>
        <v>1.1620793053463072</v>
      </c>
      <c r="W440" s="304">
        <f t="shared" ca="1" si="178"/>
        <v>124.65085293515546</v>
      </c>
      <c r="Y440" s="314" t="str">
        <f t="shared" ca="1" si="196"/>
        <v/>
      </c>
      <c r="Z440" s="315" t="str">
        <f t="shared" ca="1" si="197"/>
        <v/>
      </c>
      <c r="AA440" s="316" t="str">
        <f t="shared" ca="1" si="198"/>
        <v/>
      </c>
      <c r="AC440" s="310" t="e">
        <f t="shared" ca="1" si="199"/>
        <v>#N/A</v>
      </c>
      <c r="AD440" s="323" t="e">
        <f t="shared" ca="1" si="200"/>
        <v>#N/A</v>
      </c>
      <c r="AE440" s="324">
        <f t="shared" ca="1" si="179"/>
        <v>527.17724553826235</v>
      </c>
      <c r="AG440" s="306">
        <f t="shared" ca="1" si="201"/>
        <v>8.6606321772436043</v>
      </c>
      <c r="AH440" s="304">
        <f t="shared" ca="1" si="202"/>
        <v>18.145348594118197</v>
      </c>
    </row>
    <row r="441" spans="1:34" x14ac:dyDescent="0.25">
      <c r="A441" s="347">
        <f t="shared" ca="1" si="180"/>
        <v>0.01</v>
      </c>
      <c r="B441" s="304">
        <f t="shared" ca="1" si="181"/>
        <v>4.3699999999999513</v>
      </c>
      <c r="D441" s="306">
        <f t="shared" ca="1" si="182"/>
        <v>4.3360740424130242</v>
      </c>
      <c r="E441" s="307">
        <f t="shared" ca="1" si="183"/>
        <v>6.5984475946347505</v>
      </c>
      <c r="F441" s="304">
        <f t="shared" ca="1" si="184"/>
        <v>7.8956347914799823</v>
      </c>
      <c r="G441" s="306">
        <f t="shared" ca="1" si="185"/>
        <v>55.416729800388254</v>
      </c>
      <c r="H441" s="307">
        <f t="shared" ca="1" si="186"/>
        <v>209.60830674061881</v>
      </c>
      <c r="I441" s="304">
        <f t="shared" ca="1" si="187"/>
        <v>216.81018471565997</v>
      </c>
      <c r="J441" s="306">
        <f t="shared" ca="1" si="188"/>
        <v>127.8343787176472</v>
      </c>
      <c r="K441" s="307">
        <f t="shared" ca="1" si="189"/>
        <v>529.27299868328885</v>
      </c>
      <c r="L441" s="304">
        <f t="shared" ca="1" si="174"/>
        <v>544.4919976614234</v>
      </c>
      <c r="M441" s="306">
        <f t="shared" ca="1" si="190"/>
        <v>1.3123278369876232</v>
      </c>
      <c r="N441" s="304">
        <f t="shared" ca="1" si="191"/>
        <v>75.190846396923106</v>
      </c>
      <c r="P441" s="310">
        <f t="shared" ca="1" si="192"/>
        <v>17</v>
      </c>
      <c r="Q441" s="304">
        <f t="shared" ca="1" si="193"/>
        <v>335.67500000007061</v>
      </c>
      <c r="R441" s="306">
        <f t="shared" ca="1" si="194"/>
        <v>0.16815043667095139</v>
      </c>
      <c r="S441" s="307">
        <f t="shared" ca="1" si="195"/>
        <v>12.43388194553744</v>
      </c>
      <c r="T441" s="304">
        <f t="shared" ca="1" si="175"/>
        <v>121.97638188572229</v>
      </c>
      <c r="U441" s="311">
        <f t="shared" ca="1" si="176"/>
        <v>0</v>
      </c>
      <c r="V441" s="306">
        <f t="shared" ca="1" si="177"/>
        <v>1.1618356177611733</v>
      </c>
      <c r="W441" s="304">
        <f t="shared" ca="1" si="178"/>
        <v>124.71083523067752</v>
      </c>
      <c r="Y441" s="314" t="str">
        <f t="shared" ca="1" si="196"/>
        <v/>
      </c>
      <c r="Z441" s="315" t="str">
        <f t="shared" ca="1" si="197"/>
        <v/>
      </c>
      <c r="AA441" s="316" t="str">
        <f t="shared" ca="1" si="198"/>
        <v/>
      </c>
      <c r="AC441" s="310" t="e">
        <f t="shared" ca="1" si="199"/>
        <v>#N/A</v>
      </c>
      <c r="AD441" s="323" t="e">
        <f t="shared" ca="1" si="200"/>
        <v>#N/A</v>
      </c>
      <c r="AE441" s="324">
        <f t="shared" ca="1" si="179"/>
        <v>529.27299868328885</v>
      </c>
      <c r="AG441" s="306">
        <f t="shared" ca="1" si="201"/>
        <v>7.4872758699895385</v>
      </c>
      <c r="AH441" s="304">
        <f t="shared" ca="1" si="202"/>
        <v>16.9717026419615</v>
      </c>
    </row>
    <row r="442" spans="1:34" x14ac:dyDescent="0.25">
      <c r="A442" s="347">
        <f t="shared" ca="1" si="180"/>
        <v>0.01</v>
      </c>
      <c r="B442" s="304">
        <f t="shared" ca="1" si="181"/>
        <v>4.379999999999951</v>
      </c>
      <c r="D442" s="306">
        <f t="shared" ca="1" si="182"/>
        <v>4.0381595062946323</v>
      </c>
      <c r="E442" s="307">
        <f t="shared" ca="1" si="183"/>
        <v>5.4639394675905404</v>
      </c>
      <c r="F442" s="304">
        <f t="shared" ca="1" si="184"/>
        <v>6.7942156798096498</v>
      </c>
      <c r="G442" s="306">
        <f t="shared" ca="1" si="185"/>
        <v>55.4571113954512</v>
      </c>
      <c r="H442" s="307">
        <f t="shared" ca="1" si="186"/>
        <v>209.66294613529473</v>
      </c>
      <c r="I442" s="304">
        <f t="shared" ca="1" si="187"/>
        <v>216.8733321237514</v>
      </c>
      <c r="J442" s="306">
        <f t="shared" ca="1" si="188"/>
        <v>128.3887479236264</v>
      </c>
      <c r="K442" s="307">
        <f t="shared" ca="1" si="189"/>
        <v>531.3693549476684</v>
      </c>
      <c r="L442" s="304">
        <f t="shared" ca="1" si="174"/>
        <v>546.6599143625748</v>
      </c>
      <c r="M442" s="306">
        <f t="shared" ca="1" si="190"/>
        <v>1.3122122193554804</v>
      </c>
      <c r="N442" s="304">
        <f t="shared" ca="1" si="191"/>
        <v>75.184221994564027</v>
      </c>
      <c r="P442" s="310">
        <f t="shared" ca="1" si="192"/>
        <v>17</v>
      </c>
      <c r="Q442" s="304">
        <f t="shared" ca="1" si="193"/>
        <v>321.125000000071</v>
      </c>
      <c r="R442" s="306">
        <f t="shared" ca="1" si="194"/>
        <v>0.16086187227514662</v>
      </c>
      <c r="S442" s="307">
        <f t="shared" ca="1" si="195"/>
        <v>12.432273326814688</v>
      </c>
      <c r="T442" s="304">
        <f t="shared" ca="1" si="175"/>
        <v>121.96060133605209</v>
      </c>
      <c r="U442" s="311">
        <f t="shared" ca="1" si="176"/>
        <v>0</v>
      </c>
      <c r="V442" s="306">
        <f t="shared" ca="1" si="177"/>
        <v>1.1615919098178389</v>
      </c>
      <c r="W442" s="304">
        <f t="shared" ca="1" si="178"/>
        <v>124.75731680488209</v>
      </c>
      <c r="Y442" s="314" t="str">
        <f t="shared" ca="1" si="196"/>
        <v/>
      </c>
      <c r="Z442" s="315" t="str">
        <f t="shared" ca="1" si="197"/>
        <v/>
      </c>
      <c r="AA442" s="316" t="str">
        <f t="shared" ca="1" si="198"/>
        <v/>
      </c>
      <c r="AC442" s="310" t="e">
        <f t="shared" ca="1" si="199"/>
        <v>#N/A</v>
      </c>
      <c r="AD442" s="323" t="e">
        <f t="shared" ca="1" si="200"/>
        <v>#N/A</v>
      </c>
      <c r="AE442" s="324">
        <f t="shared" ca="1" si="179"/>
        <v>531.3693549476684</v>
      </c>
      <c r="AG442" s="306">
        <f t="shared" ca="1" si="201"/>
        <v>6.3145958571161334</v>
      </c>
      <c r="AH442" s="304">
        <f t="shared" ca="1" si="202"/>
        <v>15.798732830765184</v>
      </c>
    </row>
    <row r="443" spans="1:34" x14ac:dyDescent="0.25">
      <c r="A443" s="347">
        <f t="shared" ca="1" si="180"/>
        <v>0.01</v>
      </c>
      <c r="B443" s="304">
        <f t="shared" ca="1" si="181"/>
        <v>4.3899999999999508</v>
      </c>
      <c r="D443" s="306">
        <f t="shared" ca="1" si="182"/>
        <v>3.740161135803584</v>
      </c>
      <c r="E443" s="307">
        <f t="shared" ca="1" si="183"/>
        <v>4.3301739654552307</v>
      </c>
      <c r="F443" s="304">
        <f t="shared" ca="1" si="184"/>
        <v>5.7218189321999553</v>
      </c>
      <c r="G443" s="306">
        <f t="shared" ca="1" si="185"/>
        <v>55.494513006809235</v>
      </c>
      <c r="H443" s="307">
        <f t="shared" ca="1" si="186"/>
        <v>209.70624787494927</v>
      </c>
      <c r="I443" s="304">
        <f t="shared" ca="1" si="187"/>
        <v>216.92475970172833</v>
      </c>
      <c r="J443" s="306">
        <f t="shared" ca="1" si="188"/>
        <v>128.94350604563769</v>
      </c>
      <c r="K443" s="307">
        <f t="shared" ca="1" si="189"/>
        <v>533.46620091771956</v>
      </c>
      <c r="L443" s="304">
        <f t="shared" ca="1" si="174"/>
        <v>548.82840239270251</v>
      </c>
      <c r="M443" s="306">
        <f t="shared" ca="1" si="190"/>
        <v>1.3120965785852123</v>
      </c>
      <c r="N443" s="304">
        <f t="shared" ca="1" si="191"/>
        <v>75.177596266488024</v>
      </c>
      <c r="P443" s="310">
        <f t="shared" ca="1" si="192"/>
        <v>17</v>
      </c>
      <c r="Q443" s="304">
        <f t="shared" ca="1" si="193"/>
        <v>306.57500000007138</v>
      </c>
      <c r="R443" s="306">
        <f t="shared" ca="1" si="194"/>
        <v>0.15357330787934187</v>
      </c>
      <c r="S443" s="307">
        <f t="shared" ca="1" si="195"/>
        <v>12.430737593735895</v>
      </c>
      <c r="T443" s="304">
        <f t="shared" ca="1" si="175"/>
        <v>121.94553579454913</v>
      </c>
      <c r="U443" s="311">
        <f t="shared" ca="1" si="176"/>
        <v>0</v>
      </c>
      <c r="V443" s="306">
        <f t="shared" ca="1" si="177"/>
        <v>1.1613481947246689</v>
      </c>
      <c r="W443" s="304">
        <f t="shared" ca="1" si="178"/>
        <v>124.79030378217186</v>
      </c>
      <c r="Y443" s="314" t="str">
        <f t="shared" ca="1" si="196"/>
        <v/>
      </c>
      <c r="Z443" s="315" t="str">
        <f t="shared" ca="1" si="197"/>
        <v/>
      </c>
      <c r="AA443" s="316" t="str">
        <f t="shared" ca="1" si="198"/>
        <v/>
      </c>
      <c r="AC443" s="310" t="e">
        <f t="shared" ca="1" si="199"/>
        <v>#N/A</v>
      </c>
      <c r="AD443" s="323" t="e">
        <f t="shared" ca="1" si="200"/>
        <v>#N/A</v>
      </c>
      <c r="AE443" s="324">
        <f t="shared" ca="1" si="179"/>
        <v>533.46620091771956</v>
      </c>
      <c r="AG443" s="306">
        <f t="shared" ca="1" si="201"/>
        <v>5.142612753256758</v>
      </c>
      <c r="AH443" s="304">
        <f t="shared" ca="1" si="202"/>
        <v>14.626459759460369</v>
      </c>
    </row>
    <row r="444" spans="1:34" x14ac:dyDescent="0.25">
      <c r="A444" s="347">
        <f t="shared" ca="1" si="180"/>
        <v>0.01</v>
      </c>
      <c r="B444" s="304">
        <f t="shared" ca="1" si="181"/>
        <v>4.3999999999999506</v>
      </c>
      <c r="D444" s="306">
        <f t="shared" ca="1" si="182"/>
        <v>3.4420844161170829</v>
      </c>
      <c r="E444" s="307">
        <f t="shared" ca="1" si="183"/>
        <v>3.1971707753193588</v>
      </c>
      <c r="F444" s="304">
        <f t="shared" ca="1" si="184"/>
        <v>4.6978554782190001</v>
      </c>
      <c r="G444" s="306">
        <f t="shared" ca="1" si="185"/>
        <v>55.528933850970404</v>
      </c>
      <c r="H444" s="307">
        <f t="shared" ca="1" si="186"/>
        <v>209.73821958270247</v>
      </c>
      <c r="I444" s="304">
        <f t="shared" ca="1" si="187"/>
        <v>216.9644746227994</v>
      </c>
      <c r="J444" s="306">
        <f t="shared" ca="1" si="188"/>
        <v>129.49862327992659</v>
      </c>
      <c r="K444" s="307">
        <f t="shared" ca="1" si="189"/>
        <v>535.56342325500782</v>
      </c>
      <c r="L444" s="304">
        <f t="shared" ca="1" si="174"/>
        <v>550.99734460341915</v>
      </c>
      <c r="M444" s="306">
        <f t="shared" ca="1" si="190"/>
        <v>1.3119809084351945</v>
      </c>
      <c r="N444" s="304">
        <f t="shared" ca="1" si="191"/>
        <v>75.170968855076353</v>
      </c>
      <c r="P444" s="310">
        <f t="shared" ca="1" si="192"/>
        <v>17</v>
      </c>
      <c r="Q444" s="304">
        <f t="shared" ca="1" si="193"/>
        <v>292.02500000007177</v>
      </c>
      <c r="R444" s="306">
        <f t="shared" ca="1" si="194"/>
        <v>0.14628474348353709</v>
      </c>
      <c r="S444" s="307">
        <f t="shared" ca="1" si="195"/>
        <v>12.42927474630106</v>
      </c>
      <c r="T444" s="304">
        <f t="shared" ca="1" si="175"/>
        <v>121.9311852612134</v>
      </c>
      <c r="U444" s="311">
        <f t="shared" ca="1" si="176"/>
        <v>0</v>
      </c>
      <c r="V444" s="306">
        <f t="shared" ca="1" si="177"/>
        <v>1.1611044856705088</v>
      </c>
      <c r="W444" s="304">
        <f t="shared" ca="1" si="178"/>
        <v>124.80980471979453</v>
      </c>
      <c r="Y444" s="314" t="str">
        <f t="shared" ca="1" si="196"/>
        <v/>
      </c>
      <c r="Z444" s="315" t="str">
        <f t="shared" ca="1" si="197"/>
        <v/>
      </c>
      <c r="AA444" s="316" t="str">
        <f t="shared" ca="1" si="198"/>
        <v/>
      </c>
      <c r="AC444" s="310" t="e">
        <f t="shared" ca="1" si="199"/>
        <v>#N/A</v>
      </c>
      <c r="AD444" s="323" t="e">
        <f t="shared" ca="1" si="200"/>
        <v>#N/A</v>
      </c>
      <c r="AE444" s="324">
        <f t="shared" ca="1" si="179"/>
        <v>535.56342325500782</v>
      </c>
      <c r="AG444" s="306">
        <f t="shared" ca="1" si="201"/>
        <v>3.9713469623889424</v>
      </c>
      <c r="AH444" s="304">
        <f t="shared" ca="1" si="202"/>
        <v>13.454903816304229</v>
      </c>
    </row>
    <row r="445" spans="1:34" x14ac:dyDescent="0.25">
      <c r="A445" s="347">
        <f t="shared" ca="1" si="180"/>
        <v>0.01</v>
      </c>
      <c r="B445" s="304">
        <f t="shared" ca="1" si="181"/>
        <v>4.4099999999999504</v>
      </c>
      <c r="D445" s="306">
        <f t="shared" ca="1" si="182"/>
        <v>3.1439347592596105</v>
      </c>
      <c r="E445" s="307">
        <f t="shared" ca="1" si="183"/>
        <v>2.0649493851440024</v>
      </c>
      <c r="F445" s="304">
        <f t="shared" ca="1" si="184"/>
        <v>3.7614281508075331</v>
      </c>
      <c r="G445" s="306">
        <f t="shared" ca="1" si="185"/>
        <v>55.560373198562999</v>
      </c>
      <c r="H445" s="307">
        <f t="shared" ca="1" si="186"/>
        <v>209.75886907655391</v>
      </c>
      <c r="I445" s="304">
        <f t="shared" ca="1" si="187"/>
        <v>216.99248426210175</v>
      </c>
      <c r="J445" s="306">
        <f t="shared" ca="1" si="188"/>
        <v>130.05406981517424</v>
      </c>
      <c r="K445" s="307">
        <f t="shared" ca="1" si="189"/>
        <v>537.66090869830407</v>
      </c>
      <c r="L445" s="304">
        <f t="shared" ca="1" si="174"/>
        <v>553.16662391884802</v>
      </c>
      <c r="M445" s="306">
        <f t="shared" ca="1" si="190"/>
        <v>1.3118652026636786</v>
      </c>
      <c r="N445" s="304">
        <f t="shared" ca="1" si="191"/>
        <v>75.164339402703177</v>
      </c>
      <c r="P445" s="310">
        <f t="shared" ca="1" si="192"/>
        <v>17</v>
      </c>
      <c r="Q445" s="304">
        <f t="shared" ca="1" si="193"/>
        <v>277.47500000007216</v>
      </c>
      <c r="R445" s="306">
        <f t="shared" ca="1" si="194"/>
        <v>0.13899617908773235</v>
      </c>
      <c r="S445" s="307">
        <f t="shared" ca="1" si="195"/>
        <v>12.427884784510182</v>
      </c>
      <c r="T445" s="304">
        <f t="shared" ca="1" si="175"/>
        <v>121.91754973604489</v>
      </c>
      <c r="U445" s="311">
        <f t="shared" ca="1" si="176"/>
        <v>0</v>
      </c>
      <c r="V445" s="306">
        <f t="shared" ca="1" si="177"/>
        <v>1.1608607958244679</v>
      </c>
      <c r="W445" s="304">
        <f t="shared" ca="1" si="178"/>
        <v>124.81583059713081</v>
      </c>
      <c r="Y445" s="314" t="str">
        <f t="shared" ca="1" si="196"/>
        <v/>
      </c>
      <c r="Z445" s="315" t="str">
        <f t="shared" ca="1" si="197"/>
        <v/>
      </c>
      <c r="AA445" s="316" t="str">
        <f t="shared" ca="1" si="198"/>
        <v/>
      </c>
      <c r="AC445" s="310" t="e">
        <f t="shared" ca="1" si="199"/>
        <v>#N/A</v>
      </c>
      <c r="AD445" s="323" t="e">
        <f t="shared" ca="1" si="200"/>
        <v>#N/A</v>
      </c>
      <c r="AE445" s="324">
        <f t="shared" ca="1" si="179"/>
        <v>537.66090869830407</v>
      </c>
      <c r="AG445" s="306">
        <f t="shared" ca="1" si="201"/>
        <v>2.8008186773602581</v>
      </c>
      <c r="AH445" s="304">
        <f t="shared" ca="1" si="202"/>
        <v>12.284085178401064</v>
      </c>
    </row>
    <row r="446" spans="1:34" x14ac:dyDescent="0.25">
      <c r="A446" s="347">
        <f t="shared" ca="1" si="180"/>
        <v>0.01</v>
      </c>
      <c r="B446" s="304">
        <f t="shared" ca="1" si="181"/>
        <v>4.4199999999999502</v>
      </c>
      <c r="D446" s="306">
        <f t="shared" ca="1" si="182"/>
        <v>2.8738634262650007</v>
      </c>
      <c r="E446" s="307">
        <f t="shared" ca="1" si="183"/>
        <v>1.0397892917214655</v>
      </c>
      <c r="F446" s="304">
        <f t="shared" ca="1" si="184"/>
        <v>3.0561827111614637</v>
      </c>
      <c r="G446" s="306">
        <f t="shared" ca="1" si="185"/>
        <v>55.589111832825651</v>
      </c>
      <c r="H446" s="307">
        <f t="shared" ca="1" si="186"/>
        <v>209.76926696947112</v>
      </c>
      <c r="I446" s="304">
        <f t="shared" ca="1" si="187"/>
        <v>217.00989544090297</v>
      </c>
      <c r="J446" s="306">
        <f t="shared" ca="1" si="188"/>
        <v>130.60981724033118</v>
      </c>
      <c r="K446" s="307">
        <f t="shared" ca="1" si="189"/>
        <v>539.75854937853421</v>
      </c>
      <c r="L446" s="304">
        <f t="shared" ca="1" si="174"/>
        <v>555.3361288325948</v>
      </c>
      <c r="M446" s="306">
        <f t="shared" ca="1" si="190"/>
        <v>1.3117494556131932</v>
      </c>
      <c r="N446" s="304">
        <f t="shared" ca="1" si="191"/>
        <v>75.157707585219285</v>
      </c>
      <c r="P446" s="310">
        <f t="shared" ca="1" si="192"/>
        <v>18</v>
      </c>
      <c r="Q446" s="304">
        <f t="shared" ca="1" si="193"/>
        <v>264.29090909096794</v>
      </c>
      <c r="R446" s="306">
        <f t="shared" ca="1" si="194"/>
        <v>0.13239184262098644</v>
      </c>
      <c r="S446" s="307">
        <f t="shared" ca="1" si="195"/>
        <v>12.426560866083973</v>
      </c>
      <c r="T446" s="304">
        <f t="shared" ca="1" si="175"/>
        <v>121.90456209628378</v>
      </c>
      <c r="U446" s="311">
        <f t="shared" ca="1" si="176"/>
        <v>0</v>
      </c>
      <c r="V446" s="306">
        <f t="shared" ca="1" si="177"/>
        <v>1.1606171377186214</v>
      </c>
      <c r="W446" s="304">
        <f t="shared" ca="1" si="178"/>
        <v>124.80965916198825</v>
      </c>
      <c r="Y446" s="314" t="str">
        <f t="shared" ca="1" si="196"/>
        <v/>
      </c>
      <c r="Z446" s="315" t="str">
        <f t="shared" ca="1" si="197"/>
        <v/>
      </c>
      <c r="AA446" s="316" t="str">
        <f t="shared" ca="1" si="198"/>
        <v/>
      </c>
      <c r="AC446" s="310" t="e">
        <f t="shared" ca="1" si="199"/>
        <v>#N/A</v>
      </c>
      <c r="AD446" s="323" t="e">
        <f t="shared" ca="1" si="200"/>
        <v>#N/A</v>
      </c>
      <c r="AE446" s="324">
        <f t="shared" ca="1" si="179"/>
        <v>539.75854937853421</v>
      </c>
      <c r="AG446" s="306">
        <f t="shared" ca="1" si="201"/>
        <v>1.740972511923859</v>
      </c>
      <c r="AH446" s="304">
        <f t="shared" ca="1" si="202"/>
        <v>11.223948443733043</v>
      </c>
    </row>
    <row r="447" spans="1:34" x14ac:dyDescent="0.25">
      <c r="A447" s="347">
        <f t="shared" ca="1" si="180"/>
        <v>0.01</v>
      </c>
      <c r="B447" s="304">
        <f t="shared" ca="1" si="181"/>
        <v>4.42999999999995</v>
      </c>
      <c r="D447" s="306">
        <f t="shared" ca="1" si="182"/>
        <v>2.6318960144884795</v>
      </c>
      <c r="E447" s="307">
        <f t="shared" ca="1" si="183"/>
        <v>0.12163732062198918</v>
      </c>
      <c r="F447" s="304">
        <f t="shared" ca="1" si="184"/>
        <v>2.6347053476334765</v>
      </c>
      <c r="G447" s="306">
        <f t="shared" ca="1" si="185"/>
        <v>55.615430792970535</v>
      </c>
      <c r="H447" s="307">
        <f t="shared" ca="1" si="186"/>
        <v>209.77048334267735</v>
      </c>
      <c r="I447" s="304">
        <f t="shared" ca="1" si="187"/>
        <v>217.01781453168348</v>
      </c>
      <c r="J447" s="306">
        <f t="shared" ca="1" si="188"/>
        <v>131.16583995346016</v>
      </c>
      <c r="K447" s="307">
        <f t="shared" ca="1" si="189"/>
        <v>541.85624813009497</v>
      </c>
      <c r="L447" s="304">
        <f t="shared" ca="1" si="174"/>
        <v>557.50575890148411</v>
      </c>
      <c r="M447" s="306">
        <f t="shared" ca="1" si="190"/>
        <v>1.3116336622094382</v>
      </c>
      <c r="N447" s="304">
        <f t="shared" ca="1" si="191"/>
        <v>75.151073111888664</v>
      </c>
      <c r="P447" s="310">
        <f t="shared" ca="1" si="192"/>
        <v>18</v>
      </c>
      <c r="Q447" s="304">
        <f t="shared" ca="1" si="193"/>
        <v>252.47272727278633</v>
      </c>
      <c r="R447" s="306">
        <f t="shared" ca="1" si="194"/>
        <v>0.12647173408331305</v>
      </c>
      <c r="S447" s="307">
        <f t="shared" ca="1" si="195"/>
        <v>12.42529614874314</v>
      </c>
      <c r="T447" s="304">
        <f t="shared" ca="1" si="175"/>
        <v>121.89215521917021</v>
      </c>
      <c r="U447" s="311">
        <f t="shared" ca="1" si="176"/>
        <v>0</v>
      </c>
      <c r="V447" s="306">
        <f t="shared" ca="1" si="177"/>
        <v>1.160373522631891</v>
      </c>
      <c r="W447" s="304">
        <f t="shared" ca="1" si="178"/>
        <v>124.79256877074397</v>
      </c>
      <c r="Y447" s="314" t="str">
        <f t="shared" ca="1" si="196"/>
        <v/>
      </c>
      <c r="Z447" s="315" t="str">
        <f t="shared" ca="1" si="197"/>
        <v/>
      </c>
      <c r="AA447" s="316" t="str">
        <f t="shared" ca="1" si="198"/>
        <v/>
      </c>
      <c r="AC447" s="310" t="e">
        <f t="shared" ca="1" si="199"/>
        <v>#N/A</v>
      </c>
      <c r="AD447" s="323" t="e">
        <f t="shared" ca="1" si="200"/>
        <v>#N/A</v>
      </c>
      <c r="AE447" s="324">
        <f t="shared" ca="1" si="179"/>
        <v>541.85624813009497</v>
      </c>
      <c r="AG447" s="306">
        <f t="shared" ca="1" si="201"/>
        <v>0.79176358808745917</v>
      </c>
      <c r="AH447" s="304">
        <f t="shared" ca="1" si="202"/>
        <v>10.274448719977723</v>
      </c>
    </row>
    <row r="448" spans="1:34" x14ac:dyDescent="0.25">
      <c r="A448" s="347">
        <f t="shared" ca="1" si="180"/>
        <v>0.01</v>
      </c>
      <c r="B448" s="304">
        <f t="shared" ca="1" si="181"/>
        <v>4.4399999999999498</v>
      </c>
      <c r="D448" s="306">
        <f t="shared" ca="1" si="182"/>
        <v>2.3898808136448784</v>
      </c>
      <c r="E448" s="307">
        <f t="shared" ca="1" si="183"/>
        <v>-0.79583888928463153</v>
      </c>
      <c r="F448" s="304">
        <f t="shared" ca="1" si="184"/>
        <v>2.5189064772487488</v>
      </c>
      <c r="G448" s="306">
        <f t="shared" ca="1" si="185"/>
        <v>55.639329601106986</v>
      </c>
      <c r="H448" s="307">
        <f t="shared" ca="1" si="186"/>
        <v>209.76252495378449</v>
      </c>
      <c r="I448" s="304">
        <f t="shared" ca="1" si="187"/>
        <v>217.01624794804576</v>
      </c>
      <c r="J448" s="306">
        <f t="shared" ca="1" si="188"/>
        <v>131.72211375543054</v>
      </c>
      <c r="K448" s="307">
        <f t="shared" ca="1" si="189"/>
        <v>543.95391317157726</v>
      </c>
      <c r="L448" s="304">
        <f t="shared" ca="1" si="174"/>
        <v>559.67541924482475</v>
      </c>
      <c r="M448" s="306">
        <f t="shared" ca="1" si="190"/>
        <v>1.3115178173737945</v>
      </c>
      <c r="N448" s="304">
        <f t="shared" ca="1" si="191"/>
        <v>75.144435691727892</v>
      </c>
      <c r="P448" s="310">
        <f t="shared" ca="1" si="192"/>
        <v>18</v>
      </c>
      <c r="Q448" s="304">
        <f t="shared" ca="1" si="193"/>
        <v>240.65454545460472</v>
      </c>
      <c r="R448" s="306">
        <f t="shared" ca="1" si="194"/>
        <v>0.12055162554563965</v>
      </c>
      <c r="S448" s="307">
        <f t="shared" ca="1" si="195"/>
        <v>12.424090632487683</v>
      </c>
      <c r="T448" s="304">
        <f t="shared" ca="1" si="175"/>
        <v>121.88032910470417</v>
      </c>
      <c r="U448" s="311">
        <f t="shared" ca="1" si="176"/>
        <v>0</v>
      </c>
      <c r="V448" s="306">
        <f t="shared" ca="1" si="177"/>
        <v>1.1601299612088831</v>
      </c>
      <c r="W448" s="304">
        <f t="shared" ca="1" si="178"/>
        <v>124.76457362361677</v>
      </c>
      <c r="Y448" s="314" t="str">
        <f t="shared" ca="1" si="196"/>
        <v/>
      </c>
      <c r="Z448" s="315" t="str">
        <f t="shared" ca="1" si="197"/>
        <v/>
      </c>
      <c r="AA448" s="316" t="str">
        <f t="shared" ca="1" si="198"/>
        <v/>
      </c>
      <c r="AC448" s="310" t="e">
        <f t="shared" ca="1" si="199"/>
        <v>#N/A</v>
      </c>
      <c r="AD448" s="323" t="e">
        <f t="shared" ca="1" si="200"/>
        <v>#N/A</v>
      </c>
      <c r="AE448" s="324">
        <f t="shared" ca="1" si="179"/>
        <v>543.95391317157726</v>
      </c>
      <c r="AG448" s="306">
        <f t="shared" ca="1" si="201"/>
        <v>-0.1568039819535354</v>
      </c>
      <c r="AH448" s="304">
        <f t="shared" ca="1" si="202"/>
        <v>9.325590106441588</v>
      </c>
    </row>
    <row r="449" spans="1:34" x14ac:dyDescent="0.25">
      <c r="A449" s="347">
        <f t="shared" ca="1" si="180"/>
        <v>0.01</v>
      </c>
      <c r="B449" s="304">
        <f t="shared" ca="1" si="181"/>
        <v>4.4499999999999496</v>
      </c>
      <c r="D449" s="306">
        <f t="shared" ca="1" si="182"/>
        <v>2.1478211950049713</v>
      </c>
      <c r="E449" s="307">
        <f t="shared" ca="1" si="183"/>
        <v>-1.7126271480356987</v>
      </c>
      <c r="F449" s="304">
        <f t="shared" ca="1" si="184"/>
        <v>2.7470397947429652</v>
      </c>
      <c r="G449" s="306">
        <f t="shared" ca="1" si="185"/>
        <v>55.660807813057033</v>
      </c>
      <c r="H449" s="307">
        <f t="shared" ca="1" si="186"/>
        <v>209.74539868230414</v>
      </c>
      <c r="I449" s="304">
        <f t="shared" ca="1" si="187"/>
        <v>217.0052022298101</v>
      </c>
      <c r="J449" s="306">
        <f t="shared" ca="1" si="188"/>
        <v>132.27861444250135</v>
      </c>
      <c r="K449" s="307">
        <f t="shared" ca="1" si="189"/>
        <v>546.05145278975772</v>
      </c>
      <c r="L449" s="304">
        <f t="shared" ca="1" si="174"/>
        <v>561.84501504652769</v>
      </c>
      <c r="M449" s="306">
        <f t="shared" ca="1" si="190"/>
        <v>1.3114019160220649</v>
      </c>
      <c r="N449" s="304">
        <f t="shared" ca="1" si="191"/>
        <v>75.137795033433932</v>
      </c>
      <c r="P449" s="310">
        <f t="shared" ca="1" si="192"/>
        <v>18</v>
      </c>
      <c r="Q449" s="304">
        <f t="shared" ca="1" si="193"/>
        <v>228.83636363642307</v>
      </c>
      <c r="R449" s="306">
        <f t="shared" ca="1" si="194"/>
        <v>0.11463151700796624</v>
      </c>
      <c r="S449" s="307">
        <f t="shared" ca="1" si="195"/>
        <v>12.422944317317604</v>
      </c>
      <c r="T449" s="304">
        <f t="shared" ca="1" si="175"/>
        <v>121.8690837528857</v>
      </c>
      <c r="U449" s="311">
        <f t="shared" ca="1" si="176"/>
        <v>0</v>
      </c>
      <c r="V449" s="306">
        <f t="shared" ca="1" si="177"/>
        <v>1.1598864640775903</v>
      </c>
      <c r="W449" s="304">
        <f t="shared" ca="1" si="178"/>
        <v>124.72568948636972</v>
      </c>
      <c r="Y449" s="314" t="str">
        <f t="shared" ca="1" si="196"/>
        <v/>
      </c>
      <c r="Z449" s="315" t="str">
        <f t="shared" ca="1" si="197"/>
        <v/>
      </c>
      <c r="AA449" s="316" t="str">
        <f t="shared" ca="1" si="198"/>
        <v/>
      </c>
      <c r="AC449" s="310" t="e">
        <f t="shared" ca="1" si="199"/>
        <v>#N/A</v>
      </c>
      <c r="AD449" s="323" t="e">
        <f t="shared" ca="1" si="200"/>
        <v>#N/A</v>
      </c>
      <c r="AE449" s="324">
        <f t="shared" ca="1" si="179"/>
        <v>546.05145278975772</v>
      </c>
      <c r="AG449" s="306">
        <f t="shared" ca="1" si="201"/>
        <v>-1.1047175764490991</v>
      </c>
      <c r="AH449" s="304">
        <f t="shared" ca="1" si="202"/>
        <v>8.3773852119525376</v>
      </c>
    </row>
    <row r="450" spans="1:34" x14ac:dyDescent="0.25">
      <c r="A450" s="347">
        <f t="shared" ca="1" si="180"/>
        <v>0.01</v>
      </c>
      <c r="B450" s="304">
        <f t="shared" ca="1" si="181"/>
        <v>4.4599999999999493</v>
      </c>
      <c r="D450" s="306">
        <f t="shared" ca="1" si="182"/>
        <v>1.90572048120291</v>
      </c>
      <c r="E450" s="307">
        <f t="shared" ca="1" si="183"/>
        <v>-2.6287153975661415</v>
      </c>
      <c r="F450" s="304">
        <f t="shared" ca="1" si="184"/>
        <v>3.2468315622892372</v>
      </c>
      <c r="G450" s="306">
        <f t="shared" ca="1" si="185"/>
        <v>55.679865017869062</v>
      </c>
      <c r="H450" s="307">
        <f t="shared" ca="1" si="186"/>
        <v>209.71911152832848</v>
      </c>
      <c r="I450" s="304">
        <f t="shared" ca="1" si="187"/>
        <v>216.98468404161525</v>
      </c>
      <c r="J450" s="306">
        <f t="shared" ca="1" si="188"/>
        <v>132.83531780665598</v>
      </c>
      <c r="K450" s="307">
        <f t="shared" ca="1" si="189"/>
        <v>548.14877534081086</v>
      </c>
      <c r="L450" s="304">
        <f t="shared" ca="1" si="174"/>
        <v>564.01445155636395</v>
      </c>
      <c r="M450" s="306">
        <f t="shared" ca="1" si="190"/>
        <v>1.3112859530632122</v>
      </c>
      <c r="N450" s="304">
        <f t="shared" ca="1" si="191"/>
        <v>75.131150845311822</v>
      </c>
      <c r="P450" s="310">
        <f t="shared" ca="1" si="192"/>
        <v>18</v>
      </c>
      <c r="Q450" s="304">
        <f t="shared" ca="1" si="193"/>
        <v>217.01818181824146</v>
      </c>
      <c r="R450" s="306">
        <f t="shared" ca="1" si="194"/>
        <v>0.10871140847029283</v>
      </c>
      <c r="S450" s="307">
        <f t="shared" ca="1" si="195"/>
        <v>12.421857203232902</v>
      </c>
      <c r="T450" s="304">
        <f t="shared" ca="1" si="175"/>
        <v>121.85841916371477</v>
      </c>
      <c r="U450" s="311">
        <f t="shared" ca="1" si="176"/>
        <v>0</v>
      </c>
      <c r="V450" s="306">
        <f t="shared" ca="1" si="177"/>
        <v>1.1596430418492671</v>
      </c>
      <c r="W450" s="304">
        <f t="shared" ca="1" si="178"/>
        <v>124.67593368275038</v>
      </c>
      <c r="Y450" s="314" t="str">
        <f t="shared" ca="1" si="196"/>
        <v/>
      </c>
      <c r="Z450" s="315" t="str">
        <f t="shared" ca="1" si="197"/>
        <v/>
      </c>
      <c r="AA450" s="316" t="str">
        <f t="shared" ca="1" si="198"/>
        <v/>
      </c>
      <c r="AC450" s="310" t="e">
        <f t="shared" ca="1" si="199"/>
        <v>#N/A</v>
      </c>
      <c r="AD450" s="323" t="e">
        <f t="shared" ca="1" si="200"/>
        <v>#N/A</v>
      </c>
      <c r="AE450" s="324">
        <f t="shared" ca="1" si="179"/>
        <v>548.14877534081086</v>
      </c>
      <c r="AG450" s="306">
        <f t="shared" ca="1" si="201"/>
        <v>-2.0519647135630326</v>
      </c>
      <c r="AH450" s="304">
        <f t="shared" ca="1" si="202"/>
        <v>7.4298465053882428</v>
      </c>
    </row>
    <row r="451" spans="1:34" x14ac:dyDescent="0.25">
      <c r="A451" s="347">
        <f t="shared" ca="1" si="180"/>
        <v>0.01</v>
      </c>
      <c r="B451" s="304">
        <f t="shared" ca="1" si="181"/>
        <v>4.4699999999999491</v>
      </c>
      <c r="D451" s="306">
        <f t="shared" ca="1" si="182"/>
        <v>1.6635819461686574</v>
      </c>
      <c r="E451" s="307">
        <f t="shared" ca="1" si="183"/>
        <v>-3.5440917117329134</v>
      </c>
      <c r="F451" s="304">
        <f t="shared" ca="1" si="184"/>
        <v>3.9151105926643033</v>
      </c>
      <c r="G451" s="306">
        <f t="shared" ca="1" si="185"/>
        <v>55.696500837330746</v>
      </c>
      <c r="H451" s="307">
        <f t="shared" ca="1" si="186"/>
        <v>209.68367061121114</v>
      </c>
      <c r="I451" s="304">
        <f t="shared" ca="1" si="187"/>
        <v>216.95470017151894</v>
      </c>
      <c r="J451" s="306">
        <f t="shared" ca="1" si="188"/>
        <v>133.39219963593197</v>
      </c>
      <c r="K451" s="307">
        <f t="shared" ca="1" si="189"/>
        <v>550.24578925150854</v>
      </c>
      <c r="L451" s="304">
        <f t="shared" ca="1" si="174"/>
        <v>566.18363409120889</v>
      </c>
      <c r="M451" s="306">
        <f t="shared" ca="1" si="190"/>
        <v>1.3111699233980929</v>
      </c>
      <c r="N451" s="304">
        <f t="shared" ca="1" si="191"/>
        <v>75.124502835202165</v>
      </c>
      <c r="P451" s="310">
        <f t="shared" ca="1" si="192"/>
        <v>18</v>
      </c>
      <c r="Q451" s="304">
        <f t="shared" ca="1" si="193"/>
        <v>205.20000000005982</v>
      </c>
      <c r="R451" s="306">
        <f t="shared" ca="1" si="194"/>
        <v>0.10279129993261941</v>
      </c>
      <c r="S451" s="307">
        <f t="shared" ca="1" si="195"/>
        <v>12.420829290233575</v>
      </c>
      <c r="T451" s="304">
        <f t="shared" ca="1" si="175"/>
        <v>121.84833533719139</v>
      </c>
      <c r="U451" s="311">
        <f t="shared" ca="1" si="176"/>
        <v>0</v>
      </c>
      <c r="V451" s="306">
        <f t="shared" ca="1" si="177"/>
        <v>1.1593997051183058</v>
      </c>
      <c r="W451" s="304">
        <f t="shared" ca="1" si="178"/>
        <v>124.61532508685099</v>
      </c>
      <c r="Y451" s="314" t="str">
        <f t="shared" ca="1" si="196"/>
        <v/>
      </c>
      <c r="Z451" s="315" t="str">
        <f t="shared" ca="1" si="197"/>
        <v/>
      </c>
      <c r="AA451" s="316" t="str">
        <f t="shared" ca="1" si="198"/>
        <v/>
      </c>
      <c r="AC451" s="310" t="e">
        <f t="shared" ca="1" si="199"/>
        <v>#N/A</v>
      </c>
      <c r="AD451" s="323" t="e">
        <f t="shared" ca="1" si="200"/>
        <v>#N/A</v>
      </c>
      <c r="AE451" s="324">
        <f t="shared" ca="1" si="179"/>
        <v>550.24578925150854</v>
      </c>
      <c r="AG451" s="306">
        <f t="shared" ca="1" si="201"/>
        <v>-2.9985330514199804</v>
      </c>
      <c r="AH451" s="304">
        <f t="shared" ca="1" si="202"/>
        <v>6.482986315625884</v>
      </c>
    </row>
    <row r="452" spans="1:34" x14ac:dyDescent="0.25">
      <c r="A452" s="347">
        <f t="shared" ca="1" si="180"/>
        <v>0.01</v>
      </c>
      <c r="B452" s="304">
        <f t="shared" ca="1" si="181"/>
        <v>4.4799999999999489</v>
      </c>
      <c r="D452" s="306">
        <f t="shared" ca="1" si="182"/>
        <v>1.4214088150588753</v>
      </c>
      <c r="E452" s="307">
        <f t="shared" ca="1" si="183"/>
        <v>-4.4587442963219219</v>
      </c>
      <c r="F452" s="304">
        <f t="shared" ca="1" si="184"/>
        <v>4.6798294541051755</v>
      </c>
      <c r="G452" s="306">
        <f t="shared" ca="1" si="185"/>
        <v>55.710714925481334</v>
      </c>
      <c r="H452" s="307">
        <f t="shared" ca="1" si="186"/>
        <v>209.63908316824794</v>
      </c>
      <c r="I452" s="304">
        <f t="shared" ca="1" si="187"/>
        <v>216.91525752959799</v>
      </c>
      <c r="J452" s="306">
        <f t="shared" ca="1" si="188"/>
        <v>133.94923571474604</v>
      </c>
      <c r="K452" s="307">
        <f t="shared" ca="1" si="189"/>
        <v>552.34240302040587</v>
      </c>
      <c r="L452" s="304">
        <f t="shared" ref="L452:L515" ca="1" si="203">SQRT(pos_x^2+pos_z^2)</f>
        <v>568.35246803627149</v>
      </c>
      <c r="M452" s="306">
        <f t="shared" ca="1" si="190"/>
        <v>1.31105382191819</v>
      </c>
      <c r="N452" s="304">
        <f t="shared" ca="1" si="191"/>
        <v>75.117850710408504</v>
      </c>
      <c r="P452" s="310">
        <f t="shared" ca="1" si="192"/>
        <v>18</v>
      </c>
      <c r="Q452" s="304">
        <f t="shared" ca="1" si="193"/>
        <v>193.3818181818782</v>
      </c>
      <c r="R452" s="306">
        <f t="shared" ca="1" si="194"/>
        <v>9.6871191394946016E-2</v>
      </c>
      <c r="S452" s="307">
        <f t="shared" ca="1" si="195"/>
        <v>12.419860578319625</v>
      </c>
      <c r="T452" s="304">
        <f t="shared" ref="T452:T515" ca="1" si="204">m*g</f>
        <v>121.83883227331553</v>
      </c>
      <c r="U452" s="311">
        <f t="shared" ref="U452:U515" ca="1" si="205">IF(pos_xz&lt;L_rampe,Poids*COS(Beta),0)</f>
        <v>0</v>
      </c>
      <c r="V452" s="306">
        <f t="shared" ref="V452:V515" ca="1" si="206">Rho_moyen*(20000-Alt_rampe-pos_z)/(20000+Alt_rampe+pos_z)</f>
        <v>1.1591564644621182</v>
      </c>
      <c r="W452" s="304">
        <f t="shared" ref="W452:W515" ca="1" si="207">1/2*Rho*Sref*Cx*vit_xz^2</f>
        <v>124.54388411539125</v>
      </c>
      <c r="Y452" s="314" t="str">
        <f t="shared" ca="1" si="196"/>
        <v/>
      </c>
      <c r="Z452" s="315" t="str">
        <f t="shared" ca="1" si="197"/>
        <v/>
      </c>
      <c r="AA452" s="316" t="str">
        <f t="shared" ca="1" si="198"/>
        <v/>
      </c>
      <c r="AC452" s="310" t="e">
        <f t="shared" ca="1" si="199"/>
        <v>#N/A</v>
      </c>
      <c r="AD452" s="323" t="e">
        <f t="shared" ca="1" si="200"/>
        <v>#N/A</v>
      </c>
      <c r="AE452" s="324">
        <f t="shared" ref="AE452:AE515" ca="1" si="208">IF(t&lt;T_para, pos_z, NA())</f>
        <v>552.34240302040587</v>
      </c>
      <c r="AG452" s="306">
        <f t="shared" ca="1" si="201"/>
        <v>-3.9444103881359798</v>
      </c>
      <c r="AH452" s="304">
        <f t="shared" ca="1" si="202"/>
        <v>5.5368168315083572</v>
      </c>
    </row>
    <row r="453" spans="1:34" x14ac:dyDescent="0.25">
      <c r="A453" s="347">
        <f t="shared" ref="A453:A516" ca="1" si="209">IF(B452+0.01&lt;=T_ini+ROUNDUP(Temps_fin_propu,0), 0.01, IF(K452&gt;0, 0.1, 0.0001))</f>
        <v>0.01</v>
      </c>
      <c r="B453" s="304">
        <f t="shared" ref="B453:B516" ca="1" si="210">B452+pas</f>
        <v>4.4899999999999487</v>
      </c>
      <c r="D453" s="306">
        <f t="shared" ref="D453:D516" ca="1" si="211">IF(AND(L452&lt;L_rampe,Poussee&lt;Poids*SIN(M452)),0,(-W452+Poussee)/m*COS(M452)-U452/m*SIN(M452))</f>
        <v>1.1792042641861766</v>
      </c>
      <c r="E453" s="307">
        <f t="shared" ref="E453:E516" ca="1" si="212">IF(AND(L452&lt;L_rampe,Poussee&lt;Poids*SIN(M452)),0,(-W452+Poussee)/m*SIN(M452)+U452/m*COS(M452)-Poids/m)</f>
        <v>-5.3726614890377382</v>
      </c>
      <c r="F453" s="304">
        <f t="shared" ref="F453:F516" ca="1" si="213">SQRT(acc_x^2+acc_z^2)</f>
        <v>5.5005467157787207</v>
      </c>
      <c r="G453" s="306">
        <f t="shared" ref="G453:G516" ca="1" si="214">G452+acc_x*pas</f>
        <v>55.722506968123199</v>
      </c>
      <c r="H453" s="307">
        <f t="shared" ref="H453:H516" ca="1" si="215">H452+acc_z*pas</f>
        <v>209.58535655335757</v>
      </c>
      <c r="I453" s="304">
        <f t="shared" ref="I453:I516" ca="1" si="216">SQRT(vit_x^2+vit_z^2)</f>
        <v>216.86636314654831</v>
      </c>
      <c r="J453" s="306">
        <f t="shared" ref="J453:J516" ca="1" si="217">J452+0.5*(vit_x+G452)*pas*(K452&gt;=0)</f>
        <v>134.50640182421407</v>
      </c>
      <c r="K453" s="307">
        <f t="shared" ref="K453:K516" ca="1" si="218">K452+0.5*(vit_z+H452)*pas</f>
        <v>554.43852521901385</v>
      </c>
      <c r="L453" s="304">
        <f t="shared" ca="1" si="203"/>
        <v>570.52085884631072</v>
      </c>
      <c r="M453" s="306">
        <f t="shared" ref="M453:M516" ca="1" si="219">IF(AND(L452&gt;L_rampe,G453&gt;0),ATAN2(G453,H453),$M$4)</f>
        <v>1.3109376435043383</v>
      </c>
      <c r="N453" s="304">
        <f t="shared" ref="N453:N516" ca="1" si="220">DEGREES(Beta)</f>
        <v>75.111194177624284</v>
      </c>
      <c r="P453" s="310">
        <f t="shared" ref="P453:P516" ca="1" si="221">MATCH(t-pas/2-T_ini,CdP_t)</f>
        <v>18</v>
      </c>
      <c r="Q453" s="304">
        <f t="shared" ref="Q453:Q516" ca="1" si="222">(INDEX(CdP,2,i_P+1)-INDEX(CdP,2,i_P+0))/(INDEX(CdP,1,i_P+1)-INDEX(CdP,1,i_P+0))*(t-pas/2-T_ini-INDEX(CdP,1,i_P+0))+INDEX(CdP,2,i_P+0)</f>
        <v>181.56363636369656</v>
      </c>
      <c r="R453" s="306">
        <f t="shared" ref="R453:R516" ca="1" si="223">Poussee/(g*ISP)</f>
        <v>9.0951082857272603E-2</v>
      </c>
      <c r="S453" s="307">
        <f t="shared" ref="S453:S516" ca="1" si="224">S452-Débit*pas</f>
        <v>12.418951067491053</v>
      </c>
      <c r="T453" s="304">
        <f t="shared" ca="1" si="204"/>
        <v>121.82990997208724</v>
      </c>
      <c r="U453" s="311">
        <f t="shared" ca="1" si="205"/>
        <v>0</v>
      </c>
      <c r="V453" s="306">
        <f t="shared" ca="1" si="206"/>
        <v>1.1589133304410166</v>
      </c>
      <c r="W453" s="304">
        <f t="shared" ca="1" si="207"/>
        <v>124.46163271992509</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f t="shared" ca="1" si="208"/>
        <v>554.43852521901385</v>
      </c>
      <c r="AG453" s="306">
        <f t="shared" ref="AG453:AG516" ca="1" si="230">IF(AND(L452&lt;L_rampe,Poussee&lt;Poids*SIN(M452)),0,(-W452+Poussee)/m-Poids*SIN(M452)/m)</f>
        <v>-4.8895846618328145</v>
      </c>
      <c r="AH453" s="304">
        <f t="shared" ref="AH453:AH516" ca="1" si="231">IF(AND(L452&lt;L_rampe,Poussee&lt;Poids*SIN(M452)), g*SIN(M452), (-W452+Poussee)/m)</f>
        <v>4.5913501018266567</v>
      </c>
    </row>
    <row r="454" spans="1:34" x14ac:dyDescent="0.25">
      <c r="A454" s="347">
        <f t="shared" ca="1" si="209"/>
        <v>0.01</v>
      </c>
      <c r="B454" s="304">
        <f t="shared" ca="1" si="210"/>
        <v>4.4999999999999485</v>
      </c>
      <c r="D454" s="306">
        <f t="shared" ca="1" si="211"/>
        <v>0.93697142094675567</v>
      </c>
      <c r="E454" s="307">
        <f t="shared" ca="1" si="212"/>
        <v>-6.2858317594760926</v>
      </c>
      <c r="F454" s="304">
        <f t="shared" ca="1" si="213"/>
        <v>6.3552809813657563</v>
      </c>
      <c r="G454" s="306">
        <f t="shared" ca="1" si="214"/>
        <v>55.731876682332668</v>
      </c>
      <c r="H454" s="307">
        <f t="shared" ca="1" si="215"/>
        <v>209.52249823576281</v>
      </c>
      <c r="I454" s="304">
        <f t="shared" ca="1" si="216"/>
        <v>216.80802417228466</v>
      </c>
      <c r="J454" s="306">
        <f t="shared" ca="1" si="217"/>
        <v>135.06367374246634</v>
      </c>
      <c r="K454" s="307">
        <f t="shared" ca="1" si="218"/>
        <v>556.53406449295949</v>
      </c>
      <c r="L454" s="304">
        <f t="shared" ca="1" si="203"/>
        <v>572.68871204683694</v>
      </c>
      <c r="M454" s="306">
        <f t="shared" ca="1" si="219"/>
        <v>1.3108213830254465</v>
      </c>
      <c r="N454" s="304">
        <f t="shared" ca="1" si="220"/>
        <v>75.104532942859606</v>
      </c>
      <c r="P454" s="310">
        <f t="shared" ca="1" si="221"/>
        <v>18</v>
      </c>
      <c r="Q454" s="304">
        <f t="shared" ca="1" si="222"/>
        <v>169.74545454551495</v>
      </c>
      <c r="R454" s="306">
        <f t="shared" ca="1" si="223"/>
        <v>8.5030974319599203E-2</v>
      </c>
      <c r="S454" s="307">
        <f t="shared" ca="1" si="224"/>
        <v>12.418100757747856</v>
      </c>
      <c r="T454" s="304">
        <f t="shared" ca="1" si="204"/>
        <v>121.82156843350647</v>
      </c>
      <c r="U454" s="311">
        <f t="shared" ca="1" si="205"/>
        <v>0</v>
      </c>
      <c r="V454" s="306">
        <f t="shared" ca="1" si="206"/>
        <v>1.1586703135981022</v>
      </c>
      <c r="W454" s="304">
        <f t="shared" ca="1" si="207"/>
        <v>124.36859437897535</v>
      </c>
      <c r="Y454" s="314" t="str">
        <f t="shared" ca="1" si="225"/>
        <v/>
      </c>
      <c r="Z454" s="315" t="str">
        <f t="shared" ca="1" si="226"/>
        <v/>
      </c>
      <c r="AA454" s="316" t="str">
        <f t="shared" ca="1" si="227"/>
        <v/>
      </c>
      <c r="AC454" s="310" t="e">
        <f t="shared" ca="1" si="228"/>
        <v>#N/A</v>
      </c>
      <c r="AD454" s="323" t="e">
        <f t="shared" ca="1" si="229"/>
        <v>#N/A</v>
      </c>
      <c r="AE454" s="324">
        <f t="shared" ca="1" si="208"/>
        <v>556.53406449295949</v>
      </c>
      <c r="AG454" s="306">
        <f t="shared" ca="1" si="230"/>
        <v>-5.8340439506361275</v>
      </c>
      <c r="AH454" s="304">
        <f t="shared" ca="1" si="231"/>
        <v>3.6465980353184473</v>
      </c>
    </row>
    <row r="455" spans="1:34" x14ac:dyDescent="0.25">
      <c r="A455" s="347">
        <f t="shared" ca="1" si="209"/>
        <v>0.01</v>
      </c>
      <c r="B455" s="304">
        <f t="shared" ca="1" si="210"/>
        <v>4.5099999999999483</v>
      </c>
      <c r="D455" s="306">
        <f t="shared" ca="1" si="211"/>
        <v>0.69471336374625492</v>
      </c>
      <c r="E455" s="307">
        <f t="shared" ca="1" si="212"/>
        <v>-7.1982437090795415</v>
      </c>
      <c r="F455" s="304">
        <f t="shared" ca="1" si="213"/>
        <v>7.2316899237364183</v>
      </c>
      <c r="G455" s="306">
        <f t="shared" ca="1" si="214"/>
        <v>55.738823815970129</v>
      </c>
      <c r="H455" s="307">
        <f t="shared" ca="1" si="215"/>
        <v>209.45051579867203</v>
      </c>
      <c r="I455" s="304">
        <f t="shared" ca="1" si="216"/>
        <v>216.7402478745411</v>
      </c>
      <c r="J455" s="306">
        <f t="shared" ca="1" si="217"/>
        <v>135.62102724495784</v>
      </c>
      <c r="K455" s="307">
        <f t="shared" ca="1" si="218"/>
        <v>558.62892956313169</v>
      </c>
      <c r="L455" s="304">
        <f t="shared" ca="1" si="203"/>
        <v>574.8559332353002</v>
      </c>
      <c r="M455" s="306">
        <f t="shared" ca="1" si="219"/>
        <v>1.3107050353372129</v>
      </c>
      <c r="N455" s="304">
        <f t="shared" ca="1" si="220"/>
        <v>75.097866711367729</v>
      </c>
      <c r="P455" s="310">
        <f t="shared" ca="1" si="221"/>
        <v>18</v>
      </c>
      <c r="Q455" s="304">
        <f t="shared" ca="1" si="222"/>
        <v>157.92727272733333</v>
      </c>
      <c r="R455" s="306">
        <f t="shared" ca="1" si="223"/>
        <v>7.9110865781925804E-2</v>
      </c>
      <c r="S455" s="307">
        <f t="shared" ca="1" si="224"/>
        <v>12.417309649090036</v>
      </c>
      <c r="T455" s="304">
        <f t="shared" ca="1" si="204"/>
        <v>121.81380765757326</v>
      </c>
      <c r="U455" s="311">
        <f t="shared" ca="1" si="205"/>
        <v>0</v>
      </c>
      <c r="V455" s="306">
        <f t="shared" ca="1" si="206"/>
        <v>1.1584274244591486</v>
      </c>
      <c r="W455" s="304">
        <f t="shared" ca="1" si="207"/>
        <v>124.26479409009714</v>
      </c>
      <c r="Y455" s="314" t="str">
        <f t="shared" ca="1" si="225"/>
        <v/>
      </c>
      <c r="Z455" s="315" t="str">
        <f t="shared" ca="1" si="226"/>
        <v/>
      </c>
      <c r="AA455" s="316" t="str">
        <f t="shared" ca="1" si="227"/>
        <v/>
      </c>
      <c r="AC455" s="310" t="e">
        <f t="shared" ca="1" si="228"/>
        <v>#N/A</v>
      </c>
      <c r="AD455" s="323" t="e">
        <f t="shared" ca="1" si="229"/>
        <v>#N/A</v>
      </c>
      <c r="AE455" s="324">
        <f t="shared" ca="1" si="208"/>
        <v>558.62892956313169</v>
      </c>
      <c r="AG455" s="306">
        <f t="shared" ca="1" si="230"/>
        <v>-6.7777764726578003</v>
      </c>
      <c r="AH455" s="304">
        <f t="shared" ca="1" si="231"/>
        <v>2.7025724006823997</v>
      </c>
    </row>
    <row r="456" spans="1:34" x14ac:dyDescent="0.25">
      <c r="A456" s="347">
        <f t="shared" ca="1" si="209"/>
        <v>0.01</v>
      </c>
      <c r="B456" s="304">
        <f t="shared" ca="1" si="210"/>
        <v>4.5199999999999481</v>
      </c>
      <c r="D456" s="306">
        <f t="shared" ca="1" si="211"/>
        <v>0.45243312192386459</v>
      </c>
      <c r="E456" s="307">
        <f t="shared" ca="1" si="212"/>
        <v>-8.1098860710762644</v>
      </c>
      <c r="F456" s="304">
        <f t="shared" ca="1" si="213"/>
        <v>8.12249640293245</v>
      </c>
      <c r="G456" s="306">
        <f t="shared" ca="1" si="214"/>
        <v>55.743348147189366</v>
      </c>
      <c r="H456" s="307">
        <f t="shared" ca="1" si="215"/>
        <v>209.36941693796126</v>
      </c>
      <c r="I456" s="304">
        <f t="shared" ca="1" si="216"/>
        <v>216.66304163747128</v>
      </c>
      <c r="J456" s="306">
        <f t="shared" ca="1" si="217"/>
        <v>136.17843810477365</v>
      </c>
      <c r="K456" s="307">
        <f t="shared" ca="1" si="218"/>
        <v>560.7230292268149</v>
      </c>
      <c r="L456" s="304">
        <f t="shared" ca="1" si="203"/>
        <v>577.02242808226367</v>
      </c>
      <c r="M456" s="306">
        <f t="shared" ca="1" si="219"/>
        <v>1.3105885952808338</v>
      </c>
      <c r="N456" s="304">
        <f t="shared" ca="1" si="220"/>
        <v>75.091195187570932</v>
      </c>
      <c r="P456" s="310">
        <f t="shared" ca="1" si="221"/>
        <v>18</v>
      </c>
      <c r="Q456" s="304">
        <f t="shared" ca="1" si="222"/>
        <v>146.10909090915169</v>
      </c>
      <c r="R456" s="306">
        <f t="shared" ca="1" si="223"/>
        <v>7.3190757244252391E-2</v>
      </c>
      <c r="S456" s="307">
        <f t="shared" ca="1" si="224"/>
        <v>12.416577741517594</v>
      </c>
      <c r="T456" s="304">
        <f t="shared" ca="1" si="204"/>
        <v>121.8066276442876</v>
      </c>
      <c r="U456" s="311">
        <f t="shared" ca="1" si="205"/>
        <v>0</v>
      </c>
      <c r="V456" s="306">
        <f t="shared" ca="1" si="206"/>
        <v>1.1581846735324972</v>
      </c>
      <c r="W456" s="304">
        <f t="shared" ca="1" si="207"/>
        <v>124.15025836187435</v>
      </c>
      <c r="Y456" s="314" t="str">
        <f t="shared" ca="1" si="225"/>
        <v/>
      </c>
      <c r="Z456" s="315" t="str">
        <f t="shared" ca="1" si="226"/>
        <v/>
      </c>
      <c r="AA456" s="316" t="str">
        <f t="shared" ca="1" si="227"/>
        <v/>
      </c>
      <c r="AC456" s="310" t="e">
        <f t="shared" ca="1" si="228"/>
        <v>#N/A</v>
      </c>
      <c r="AD456" s="323" t="e">
        <f t="shared" ca="1" si="229"/>
        <v>#N/A</v>
      </c>
      <c r="AE456" s="324">
        <f t="shared" ca="1" si="208"/>
        <v>560.7230292268149</v>
      </c>
      <c r="AG456" s="306">
        <f t="shared" ca="1" si="230"/>
        <v>-7.720770585962442</v>
      </c>
      <c r="AH456" s="304">
        <f t="shared" ca="1" si="231"/>
        <v>1.7592848266083234</v>
      </c>
    </row>
    <row r="457" spans="1:34" x14ac:dyDescent="0.25">
      <c r="A457" s="347">
        <f t="shared" ca="1" si="209"/>
        <v>0.01</v>
      </c>
      <c r="B457" s="304">
        <f t="shared" ca="1" si="210"/>
        <v>4.5299999999999478</v>
      </c>
      <c r="D457" s="306">
        <f t="shared" ca="1" si="211"/>
        <v>0.25060047129041352</v>
      </c>
      <c r="E457" s="307">
        <f t="shared" ca="1" si="212"/>
        <v>-8.8687563125933693</v>
      </c>
      <c r="F457" s="304">
        <f t="shared" ca="1" si="213"/>
        <v>8.8722961587390508</v>
      </c>
      <c r="G457" s="306">
        <f t="shared" ca="1" si="214"/>
        <v>55.745854151902272</v>
      </c>
      <c r="H457" s="307">
        <f t="shared" ca="1" si="215"/>
        <v>209.28072937483532</v>
      </c>
      <c r="I457" s="304">
        <f t="shared" ca="1" si="216"/>
        <v>216.57798582217035</v>
      </c>
      <c r="J457" s="306">
        <f t="shared" ca="1" si="217"/>
        <v>136.73588411626912</v>
      </c>
      <c r="K457" s="307">
        <f t="shared" ca="1" si="218"/>
        <v>562.81627995837891</v>
      </c>
      <c r="L457" s="304">
        <f t="shared" ca="1" si="203"/>
        <v>579.18811019499196</v>
      </c>
      <c r="M457" s="306">
        <f t="shared" ca="1" si="219"/>
        <v>1.3104720585280396</v>
      </c>
      <c r="N457" s="304">
        <f t="shared" ca="1" si="220"/>
        <v>75.084518123477665</v>
      </c>
      <c r="P457" s="310">
        <f t="shared" ca="1" si="221"/>
        <v>19</v>
      </c>
      <c r="Q457" s="304">
        <f t="shared" ca="1" si="222"/>
        <v>136.24375000004085</v>
      </c>
      <c r="R457" s="306">
        <f t="shared" ca="1" si="223"/>
        <v>6.82488897182989E-2</v>
      </c>
      <c r="S457" s="307">
        <f t="shared" ca="1" si="224"/>
        <v>12.415895252620411</v>
      </c>
      <c r="T457" s="304">
        <f t="shared" ca="1" si="204"/>
        <v>121.79993242820623</v>
      </c>
      <c r="U457" s="311">
        <f t="shared" ca="1" si="205"/>
        <v>0</v>
      </c>
      <c r="V457" s="306">
        <f t="shared" ca="1" si="206"/>
        <v>1.1579420704282624</v>
      </c>
      <c r="W457" s="304">
        <f t="shared" ca="1" si="207"/>
        <v>124.02681655360018</v>
      </c>
      <c r="Y457" s="314" t="str">
        <f t="shared" ca="1" si="225"/>
        <v/>
      </c>
      <c r="Z457" s="315" t="str">
        <f t="shared" ca="1" si="226"/>
        <v/>
      </c>
      <c r="AA457" s="316" t="str">
        <f t="shared" ca="1" si="227"/>
        <v/>
      </c>
      <c r="AC457" s="310" t="e">
        <f t="shared" ca="1" si="228"/>
        <v>#N/A</v>
      </c>
      <c r="AD457" s="323" t="e">
        <f t="shared" ca="1" si="229"/>
        <v>#N/A</v>
      </c>
      <c r="AE457" s="324">
        <f t="shared" ca="1" si="208"/>
        <v>562.81627995837891</v>
      </c>
      <c r="AG457" s="306">
        <f t="shared" ca="1" si="230"/>
        <v>-8.5057285953693764</v>
      </c>
      <c r="AH457" s="304">
        <f t="shared" ca="1" si="231"/>
        <v>0.97403299497183915</v>
      </c>
    </row>
    <row r="458" spans="1:34" x14ac:dyDescent="0.25">
      <c r="A458" s="347">
        <f t="shared" ca="1" si="209"/>
        <v>0.01</v>
      </c>
      <c r="B458" s="304">
        <f t="shared" ca="1" si="210"/>
        <v>4.5399999999999476</v>
      </c>
      <c r="D458" s="306">
        <f t="shared" ca="1" si="211"/>
        <v>8.923982458821092E-2</v>
      </c>
      <c r="E458" s="307">
        <f t="shared" ca="1" si="212"/>
        <v>-9.4749764208794378</v>
      </c>
      <c r="F458" s="304">
        <f t="shared" ca="1" si="213"/>
        <v>9.4753966630697768</v>
      </c>
      <c r="G458" s="306">
        <f t="shared" ca="1" si="214"/>
        <v>55.746746550148153</v>
      </c>
      <c r="H458" s="307">
        <f t="shared" ca="1" si="215"/>
        <v>209.18597961062653</v>
      </c>
      <c r="I458" s="304">
        <f t="shared" ca="1" si="216"/>
        <v>216.48665967348637</v>
      </c>
      <c r="J458" s="306">
        <f t="shared" ca="1" si="217"/>
        <v>137.29334711977938</v>
      </c>
      <c r="K458" s="307">
        <f t="shared" ca="1" si="218"/>
        <v>564.90861350330624</v>
      </c>
      <c r="L458" s="304">
        <f t="shared" ca="1" si="203"/>
        <v>581.35290897490142</v>
      </c>
      <c r="M458" s="306">
        <f t="shared" ca="1" si="219"/>
        <v>1.3103554215839084</v>
      </c>
      <c r="N458" s="304">
        <f t="shared" ca="1" si="220"/>
        <v>75.077835318843654</v>
      </c>
      <c r="P458" s="310">
        <f t="shared" ca="1" si="221"/>
        <v>19</v>
      </c>
      <c r="Q458" s="304">
        <f t="shared" ca="1" si="222"/>
        <v>128.33125000004102</v>
      </c>
      <c r="R458" s="306">
        <f t="shared" ca="1" si="223"/>
        <v>6.4285263204085466E-2</v>
      </c>
      <c r="S458" s="307">
        <f t="shared" ca="1" si="224"/>
        <v>12.41525239998837</v>
      </c>
      <c r="T458" s="304">
        <f t="shared" ca="1" si="204"/>
        <v>121.79362604388592</v>
      </c>
      <c r="U458" s="311">
        <f t="shared" ca="1" si="205"/>
        <v>0</v>
      </c>
      <c r="V458" s="306">
        <f t="shared" ca="1" si="206"/>
        <v>1.1576996229793932</v>
      </c>
      <c r="W458" s="304">
        <f t="shared" ca="1" si="207"/>
        <v>123.89629329866139</v>
      </c>
      <c r="Y458" s="314" t="str">
        <f t="shared" ca="1" si="225"/>
        <v/>
      </c>
      <c r="Z458" s="315" t="str">
        <f t="shared" ca="1" si="226"/>
        <v/>
      </c>
      <c r="AA458" s="316" t="str">
        <f t="shared" ca="1" si="227"/>
        <v/>
      </c>
      <c r="AC458" s="310" t="e">
        <f t="shared" ca="1" si="228"/>
        <v>#N/A</v>
      </c>
      <c r="AD458" s="323" t="e">
        <f t="shared" ca="1" si="229"/>
        <v>#N/A</v>
      </c>
      <c r="AE458" s="324">
        <f t="shared" ca="1" si="208"/>
        <v>564.90861350330624</v>
      </c>
      <c r="AG458" s="306">
        <f t="shared" ca="1" si="230"/>
        <v>-9.1327621245358515</v>
      </c>
      <c r="AH458" s="304">
        <f t="shared" ca="1" si="231"/>
        <v>0.34670527088477648</v>
      </c>
    </row>
    <row r="459" spans="1:34" x14ac:dyDescent="0.25">
      <c r="A459" s="347">
        <f t="shared" ca="1" si="209"/>
        <v>0.01</v>
      </c>
      <c r="B459" s="304">
        <f t="shared" ca="1" si="210"/>
        <v>4.5499999999999474</v>
      </c>
      <c r="D459" s="306">
        <f t="shared" ca="1" si="211"/>
        <v>-7.2131752099829499E-2</v>
      </c>
      <c r="E459" s="307">
        <f t="shared" ca="1" si="212"/>
        <v>-10.080669629311195</v>
      </c>
      <c r="F459" s="304">
        <f t="shared" ca="1" si="213"/>
        <v>10.080927693668778</v>
      </c>
      <c r="G459" s="306">
        <f t="shared" ca="1" si="214"/>
        <v>55.746025232627154</v>
      </c>
      <c r="H459" s="307">
        <f t="shared" ca="1" si="215"/>
        <v>209.08517291433341</v>
      </c>
      <c r="I459" s="304">
        <f t="shared" ca="1" si="216"/>
        <v>216.38906825866553</v>
      </c>
      <c r="J459" s="306">
        <f t="shared" ca="1" si="217"/>
        <v>137.85081097869326</v>
      </c>
      <c r="K459" s="307">
        <f t="shared" ca="1" si="218"/>
        <v>566.99996926593099</v>
      </c>
      <c r="L459" s="304">
        <f t="shared" ca="1" si="203"/>
        <v>583.51676174301122</v>
      </c>
      <c r="M459" s="306">
        <f t="shared" ca="1" si="219"/>
        <v>1.3102386809415911</v>
      </c>
      <c r="N459" s="304">
        <f t="shared" ca="1" si="220"/>
        <v>75.071146572741227</v>
      </c>
      <c r="P459" s="310">
        <f t="shared" ca="1" si="221"/>
        <v>19</v>
      </c>
      <c r="Q459" s="304">
        <f t="shared" ca="1" si="222"/>
        <v>120.4187500000412</v>
      </c>
      <c r="R459" s="306">
        <f t="shared" ca="1" si="223"/>
        <v>6.0321636689872032E-2</v>
      </c>
      <c r="S459" s="307">
        <f t="shared" ca="1" si="224"/>
        <v>12.414649183621471</v>
      </c>
      <c r="T459" s="304">
        <f t="shared" ca="1" si="204"/>
        <v>121.78770849132664</v>
      </c>
      <c r="U459" s="311">
        <f t="shared" ca="1" si="205"/>
        <v>0</v>
      </c>
      <c r="V459" s="306">
        <f t="shared" ca="1" si="206"/>
        <v>1.1574573381252791</v>
      </c>
      <c r="W459" s="304">
        <f t="shared" ca="1" si="207"/>
        <v>123.75870865937347</v>
      </c>
      <c r="Y459" s="314" t="str">
        <f t="shared" ca="1" si="225"/>
        <v/>
      </c>
      <c r="Z459" s="315" t="str">
        <f t="shared" ca="1" si="226"/>
        <v/>
      </c>
      <c r="AA459" s="316" t="str">
        <f t="shared" ca="1" si="227"/>
        <v/>
      </c>
      <c r="AC459" s="310" t="e">
        <f t="shared" ca="1" si="228"/>
        <v>#N/A</v>
      </c>
      <c r="AD459" s="323" t="e">
        <f t="shared" ca="1" si="229"/>
        <v>#N/A</v>
      </c>
      <c r="AE459" s="324">
        <f t="shared" ca="1" si="208"/>
        <v>566.99996926593099</v>
      </c>
      <c r="AG459" s="306">
        <f t="shared" ca="1" si="230"/>
        <v>-9.7592889336812814</v>
      </c>
      <c r="AH459" s="304">
        <f t="shared" ca="1" si="231"/>
        <v>-0.28011611501741673</v>
      </c>
    </row>
    <row r="460" spans="1:34" x14ac:dyDescent="0.25">
      <c r="A460" s="347">
        <f t="shared" ca="1" si="209"/>
        <v>0.01</v>
      </c>
      <c r="B460" s="304">
        <f t="shared" ca="1" si="210"/>
        <v>4.5599999999999472</v>
      </c>
      <c r="D460" s="306">
        <f t="shared" ca="1" si="211"/>
        <v>-0.23351311668010241</v>
      </c>
      <c r="E460" s="307">
        <f t="shared" ca="1" si="212"/>
        <v>-10.685831598308255</v>
      </c>
      <c r="F460" s="304">
        <f t="shared" ca="1" si="213"/>
        <v>10.688382727198011</v>
      </c>
      <c r="G460" s="306">
        <f t="shared" ca="1" si="214"/>
        <v>55.743690101460352</v>
      </c>
      <c r="H460" s="307">
        <f t="shared" ca="1" si="215"/>
        <v>208.97831459835032</v>
      </c>
      <c r="I460" s="304">
        <f t="shared" ca="1" si="216"/>
        <v>216.28521668966357</v>
      </c>
      <c r="J460" s="306">
        <f t="shared" ca="1" si="217"/>
        <v>138.40825955536368</v>
      </c>
      <c r="K460" s="307">
        <f t="shared" ca="1" si="218"/>
        <v>569.09028670349437</v>
      </c>
      <c r="L460" s="304">
        <f t="shared" ca="1" si="203"/>
        <v>585.67960587117113</v>
      </c>
      <c r="M460" s="306">
        <f t="shared" ca="1" si="219"/>
        <v>1.3101218330817099</v>
      </c>
      <c r="N460" s="304">
        <f t="shared" ca="1" si="220"/>
        <v>75.064451683524894</v>
      </c>
      <c r="P460" s="310">
        <f t="shared" ca="1" si="221"/>
        <v>19</v>
      </c>
      <c r="Q460" s="304">
        <f t="shared" ca="1" si="222"/>
        <v>112.50625000004138</v>
      </c>
      <c r="R460" s="306">
        <f t="shared" ca="1" si="223"/>
        <v>5.6358010175658606E-2</v>
      </c>
      <c r="S460" s="307">
        <f t="shared" ca="1" si="224"/>
        <v>12.414085603519714</v>
      </c>
      <c r="T460" s="304">
        <f t="shared" ca="1" si="204"/>
        <v>121.7821797705284</v>
      </c>
      <c r="U460" s="311">
        <f t="shared" ca="1" si="205"/>
        <v>0</v>
      </c>
      <c r="V460" s="306">
        <f t="shared" ca="1" si="206"/>
        <v>1.1572152227935499</v>
      </c>
      <c r="W460" s="304">
        <f t="shared" ca="1" si="207"/>
        <v>123.61408333909108</v>
      </c>
      <c r="Y460" s="314" t="str">
        <f t="shared" ca="1" si="225"/>
        <v/>
      </c>
      <c r="Z460" s="315" t="str">
        <f t="shared" ca="1" si="226"/>
        <v/>
      </c>
      <c r="AA460" s="316" t="str">
        <f t="shared" ca="1" si="227"/>
        <v/>
      </c>
      <c r="AC460" s="310" t="e">
        <f t="shared" ca="1" si="228"/>
        <v>#N/A</v>
      </c>
      <c r="AD460" s="323" t="e">
        <f t="shared" ca="1" si="229"/>
        <v>#N/A</v>
      </c>
      <c r="AE460" s="324">
        <f t="shared" ca="1" si="208"/>
        <v>569.09028670349437</v>
      </c>
      <c r="AG460" s="306">
        <f t="shared" ca="1" si="230"/>
        <v>-10.385304551863994</v>
      </c>
      <c r="AH460" s="304">
        <f t="shared" ca="1" si="231"/>
        <v>-0.90642670098406031</v>
      </c>
    </row>
    <row r="461" spans="1:34" x14ac:dyDescent="0.25">
      <c r="A461" s="347">
        <f t="shared" ca="1" si="209"/>
        <v>0.01</v>
      </c>
      <c r="B461" s="304">
        <f t="shared" ca="1" si="210"/>
        <v>4.569999999999947</v>
      </c>
      <c r="D461" s="306">
        <f t="shared" ca="1" si="211"/>
        <v>-0.39490314884945898</v>
      </c>
      <c r="E461" s="307">
        <f t="shared" ca="1" si="212"/>
        <v>-11.290458045133605</v>
      </c>
      <c r="F461" s="304">
        <f t="shared" ca="1" si="213"/>
        <v>11.297362141929122</v>
      </c>
      <c r="G461" s="306">
        <f t="shared" ca="1" si="214"/>
        <v>55.739741069971856</v>
      </c>
      <c r="H461" s="307">
        <f t="shared" ca="1" si="215"/>
        <v>208.86541001789899</v>
      </c>
      <c r="I461" s="304">
        <f t="shared" ca="1" si="216"/>
        <v>216.17511012254062</v>
      </c>
      <c r="J461" s="306">
        <f t="shared" ca="1" si="217"/>
        <v>138.96567671122085</v>
      </c>
      <c r="K461" s="307">
        <f t="shared" ca="1" si="218"/>
        <v>571.17950532657562</v>
      </c>
      <c r="L461" s="304">
        <f t="shared" ca="1" si="203"/>
        <v>587.84137878250726</v>
      </c>
      <c r="M461" s="306">
        <f t="shared" ca="1" si="219"/>
        <v>1.310004874471751</v>
      </c>
      <c r="N461" s="304">
        <f t="shared" ca="1" si="220"/>
        <v>75.057750448796526</v>
      </c>
      <c r="P461" s="310">
        <f t="shared" ca="1" si="221"/>
        <v>19</v>
      </c>
      <c r="Q461" s="304">
        <f t="shared" ca="1" si="222"/>
        <v>104.59375000004155</v>
      </c>
      <c r="R461" s="306">
        <f t="shared" ca="1" si="223"/>
        <v>5.2394383661445172E-2</v>
      </c>
      <c r="S461" s="307">
        <f t="shared" ca="1" si="224"/>
        <v>12.413561659683101</v>
      </c>
      <c r="T461" s="304">
        <f t="shared" ca="1" si="204"/>
        <v>121.77703988149122</v>
      </c>
      <c r="U461" s="311">
        <f t="shared" ca="1" si="205"/>
        <v>0</v>
      </c>
      <c r="V461" s="306">
        <f t="shared" ca="1" si="206"/>
        <v>1.1569732839000431</v>
      </c>
      <c r="W461" s="304">
        <f t="shared" ca="1" si="207"/>
        <v>123.46243867861406</v>
      </c>
      <c r="Y461" s="314" t="str">
        <f t="shared" ca="1" si="225"/>
        <v/>
      </c>
      <c r="Z461" s="315" t="str">
        <f t="shared" ca="1" si="226"/>
        <v/>
      </c>
      <c r="AA461" s="316" t="str">
        <f t="shared" ca="1" si="227"/>
        <v/>
      </c>
      <c r="AC461" s="310" t="e">
        <f t="shared" ca="1" si="228"/>
        <v>#N/A</v>
      </c>
      <c r="AD461" s="323" t="e">
        <f t="shared" ca="1" si="229"/>
        <v>#N/A</v>
      </c>
      <c r="AE461" s="324">
        <f t="shared" ca="1" si="208"/>
        <v>571.17950532657562</v>
      </c>
      <c r="AG461" s="306">
        <f t="shared" ca="1" si="230"/>
        <v>-11.010804568682168</v>
      </c>
      <c r="AH461" s="304">
        <f t="shared" ca="1" si="231"/>
        <v>-1.5322220858517965</v>
      </c>
    </row>
    <row r="462" spans="1:34" x14ac:dyDescent="0.25">
      <c r="A462" s="347">
        <f t="shared" ca="1" si="209"/>
        <v>0.01</v>
      </c>
      <c r="B462" s="304">
        <f t="shared" ca="1" si="210"/>
        <v>4.5799999999999468</v>
      </c>
      <c r="D462" s="306">
        <f t="shared" ca="1" si="211"/>
        <v>-0.55630075011058411</v>
      </c>
      <c r="E462" s="307">
        <f t="shared" ca="1" si="212"/>
        <v>-11.894544743744905</v>
      </c>
      <c r="F462" s="304">
        <f t="shared" ca="1" si="213"/>
        <v>11.907546564491074</v>
      </c>
      <c r="G462" s="306">
        <f t="shared" ca="1" si="214"/>
        <v>55.734178062470754</v>
      </c>
      <c r="H462" s="307">
        <f t="shared" ca="1" si="215"/>
        <v>208.74646457046154</v>
      </c>
      <c r="I462" s="304">
        <f t="shared" ca="1" si="216"/>
        <v>216.05875375685696</v>
      </c>
      <c r="J462" s="306">
        <f t="shared" ca="1" si="217"/>
        <v>139.52304630688306</v>
      </c>
      <c r="K462" s="307">
        <f t="shared" ca="1" si="218"/>
        <v>573.26756469951738</v>
      </c>
      <c r="L462" s="304">
        <f t="shared" ca="1" si="203"/>
        <v>590.00201795186092</v>
      </c>
      <c r="M462" s="306">
        <f t="shared" ca="1" si="219"/>
        <v>1.3098878015654545</v>
      </c>
      <c r="N462" s="304">
        <f t="shared" ca="1" si="220"/>
        <v>75.051042665370403</v>
      </c>
      <c r="P462" s="310">
        <f t="shared" ca="1" si="221"/>
        <v>19</v>
      </c>
      <c r="Q462" s="304">
        <f t="shared" ca="1" si="222"/>
        <v>96.681250000041729</v>
      </c>
      <c r="R462" s="306">
        <f t="shared" ca="1" si="223"/>
        <v>4.8430757147231746E-2</v>
      </c>
      <c r="S462" s="307">
        <f t="shared" ca="1" si="224"/>
        <v>12.413077352111628</v>
      </c>
      <c r="T462" s="304">
        <f t="shared" ca="1" si="204"/>
        <v>121.77228882421508</v>
      </c>
      <c r="U462" s="311">
        <f t="shared" ca="1" si="205"/>
        <v>0</v>
      </c>
      <c r="V462" s="306">
        <f t="shared" ca="1" si="206"/>
        <v>1.1567315283487722</v>
      </c>
      <c r="W462" s="304">
        <f t="shared" ca="1" si="207"/>
        <v>123.30379665258396</v>
      </c>
      <c r="Y462" s="314" t="str">
        <f t="shared" ca="1" si="225"/>
        <v/>
      </c>
      <c r="Z462" s="315" t="str">
        <f t="shared" ca="1" si="226"/>
        <v/>
      </c>
      <c r="AA462" s="316" t="str">
        <f t="shared" ca="1" si="227"/>
        <v/>
      </c>
      <c r="AC462" s="310" t="e">
        <f t="shared" ca="1" si="228"/>
        <v>#N/A</v>
      </c>
      <c r="AD462" s="323" t="e">
        <f t="shared" ca="1" si="229"/>
        <v>#N/A</v>
      </c>
      <c r="AE462" s="324">
        <f t="shared" ca="1" si="208"/>
        <v>573.26756469951738</v>
      </c>
      <c r="AG462" s="306">
        <f t="shared" ca="1" si="230"/>
        <v>-11.635784634136945</v>
      </c>
      <c r="AH462" s="304">
        <f t="shared" ca="1" si="231"/>
        <v>-2.1574979289093452</v>
      </c>
    </row>
    <row r="463" spans="1:34" x14ac:dyDescent="0.25">
      <c r="A463" s="347">
        <f t="shared" ca="1" si="209"/>
        <v>0.01</v>
      </c>
      <c r="B463" s="304">
        <f t="shared" ca="1" si="210"/>
        <v>4.5899999999999466</v>
      </c>
      <c r="D463" s="306">
        <f t="shared" ca="1" si="211"/>
        <v>-0.71770484378822719</v>
      </c>
      <c r="E463" s="307">
        <f t="shared" ca="1" si="212"/>
        <v>-12.49808752464172</v>
      </c>
      <c r="F463" s="304">
        <f t="shared" ca="1" si="213"/>
        <v>12.518677726357607</v>
      </c>
      <c r="G463" s="306">
        <f t="shared" ca="1" si="214"/>
        <v>55.727001014032872</v>
      </c>
      <c r="H463" s="307">
        <f t="shared" ca="1" si="215"/>
        <v>208.62148369521512</v>
      </c>
      <c r="I463" s="304">
        <f t="shared" ca="1" si="216"/>
        <v>215.93615283507052</v>
      </c>
      <c r="J463" s="306">
        <f t="shared" ca="1" si="217"/>
        <v>140.08035220226557</v>
      </c>
      <c r="K463" s="307">
        <f t="shared" ca="1" si="218"/>
        <v>575.35440444084577</v>
      </c>
      <c r="L463" s="304">
        <f t="shared" ca="1" si="203"/>
        <v>592.16146090622203</v>
      </c>
      <c r="M463" s="306">
        <f t="shared" ca="1" si="219"/>
        <v>1.3097706108021969</v>
      </c>
      <c r="N463" s="304">
        <f t="shared" ca="1" si="220"/>
        <v>75.04432812923784</v>
      </c>
      <c r="P463" s="310">
        <f t="shared" ca="1" si="221"/>
        <v>19</v>
      </c>
      <c r="Q463" s="304">
        <f t="shared" ca="1" si="222"/>
        <v>88.768750000041905</v>
      </c>
      <c r="R463" s="306">
        <f t="shared" ca="1" si="223"/>
        <v>4.4467130633018312E-2</v>
      </c>
      <c r="S463" s="307">
        <f t="shared" ca="1" si="224"/>
        <v>12.412632680805299</v>
      </c>
      <c r="T463" s="304">
        <f t="shared" ca="1" si="204"/>
        <v>121.76792659869999</v>
      </c>
      <c r="U463" s="311">
        <f t="shared" ca="1" si="205"/>
        <v>0</v>
      </c>
      <c r="V463" s="306">
        <f t="shared" ca="1" si="206"/>
        <v>1.1564899630318968</v>
      </c>
      <c r="W463" s="304">
        <f t="shared" ca="1" si="207"/>
        <v>123.13817986587185</v>
      </c>
      <c r="Y463" s="314" t="str">
        <f t="shared" ca="1" si="225"/>
        <v/>
      </c>
      <c r="Z463" s="315" t="str">
        <f t="shared" ca="1" si="226"/>
        <v/>
      </c>
      <c r="AA463" s="316" t="str">
        <f t="shared" ca="1" si="227"/>
        <v/>
      </c>
      <c r="AC463" s="310" t="e">
        <f t="shared" ca="1" si="228"/>
        <v>#N/A</v>
      </c>
      <c r="AD463" s="323" t="e">
        <f t="shared" ca="1" si="229"/>
        <v>#N/A</v>
      </c>
      <c r="AE463" s="324">
        <f t="shared" ca="1" si="208"/>
        <v>575.35440444084577</v>
      </c>
      <c r="AG463" s="306">
        <f t="shared" ca="1" si="230"/>
        <v>-12.260240458491827</v>
      </c>
      <c r="AH463" s="304">
        <f t="shared" ca="1" si="231"/>
        <v>-2.782249949758564</v>
      </c>
    </row>
    <row r="464" spans="1:34" x14ac:dyDescent="0.25">
      <c r="A464" s="347">
        <f t="shared" ca="1" si="209"/>
        <v>0.01</v>
      </c>
      <c r="B464" s="304">
        <f t="shared" ca="1" si="210"/>
        <v>4.5999999999999464</v>
      </c>
      <c r="D464" s="306">
        <f t="shared" ca="1" si="211"/>
        <v>-0.87911437504632806</v>
      </c>
      <c r="E464" s="307">
        <f t="shared" ca="1" si="212"/>
        <v>-13.101082274708688</v>
      </c>
      <c r="F464" s="304">
        <f t="shared" ca="1" si="213"/>
        <v>13.130544499490464</v>
      </c>
      <c r="G464" s="306">
        <f t="shared" ca="1" si="214"/>
        <v>55.718209870282408</v>
      </c>
      <c r="H464" s="307">
        <f t="shared" ca="1" si="215"/>
        <v>208.49047287246802</v>
      </c>
      <c r="I464" s="304">
        <f t="shared" ca="1" si="216"/>
        <v>215.80731264193565</v>
      </c>
      <c r="J464" s="306">
        <f t="shared" ca="1" si="217"/>
        <v>140.63757825668714</v>
      </c>
      <c r="K464" s="307">
        <f t="shared" ca="1" si="218"/>
        <v>577.43996422368423</v>
      </c>
      <c r="L464" s="304">
        <f t="shared" ca="1" si="203"/>
        <v>594.31964522515625</v>
      </c>
      <c r="M464" s="306">
        <f t="shared" ca="1" si="219"/>
        <v>1.3096532986063707</v>
      </c>
      <c r="N464" s="304">
        <f t="shared" ca="1" si="220"/>
        <v>75.037606635531574</v>
      </c>
      <c r="P464" s="310">
        <f t="shared" ca="1" si="221"/>
        <v>19</v>
      </c>
      <c r="Q464" s="304">
        <f t="shared" ca="1" si="222"/>
        <v>80.856250000042081</v>
      </c>
      <c r="R464" s="306">
        <f t="shared" ca="1" si="223"/>
        <v>4.0503504118804885E-2</v>
      </c>
      <c r="S464" s="307">
        <f t="shared" ca="1" si="224"/>
        <v>12.41222764576411</v>
      </c>
      <c r="T464" s="304">
        <f t="shared" ca="1" si="204"/>
        <v>121.76395320494593</v>
      </c>
      <c r="U464" s="311">
        <f t="shared" ca="1" si="205"/>
        <v>0</v>
      </c>
      <c r="V464" s="306">
        <f t="shared" ca="1" si="206"/>
        <v>1.1562485948296921</v>
      </c>
      <c r="W464" s="304">
        <f t="shared" ca="1" si="207"/>
        <v>122.96561154995838</v>
      </c>
      <c r="Y464" s="314" t="str">
        <f t="shared" ca="1" si="225"/>
        <v/>
      </c>
      <c r="Z464" s="315" t="str">
        <f t="shared" ca="1" si="226"/>
        <v/>
      </c>
      <c r="AA464" s="316" t="str">
        <f t="shared" ca="1" si="227"/>
        <v/>
      </c>
      <c r="AC464" s="310" t="e">
        <f t="shared" ca="1" si="228"/>
        <v>#N/A</v>
      </c>
      <c r="AD464" s="323" t="e">
        <f t="shared" ca="1" si="229"/>
        <v>#N/A</v>
      </c>
      <c r="AE464" s="324">
        <f t="shared" ca="1" si="208"/>
        <v>577.43996422368423</v>
      </c>
      <c r="AG464" s="306">
        <f t="shared" ca="1" si="230"/>
        <v>-12.884167812128466</v>
      </c>
      <c r="AH464" s="304">
        <f t="shared" ca="1" si="231"/>
        <v>-3.4064739281718874</v>
      </c>
    </row>
    <row r="465" spans="1:34" x14ac:dyDescent="0.25">
      <c r="A465" s="347">
        <f t="shared" ca="1" si="209"/>
        <v>0.01</v>
      </c>
      <c r="B465" s="304">
        <f t="shared" ca="1" si="210"/>
        <v>4.6099999999999461</v>
      </c>
      <c r="D465" s="306">
        <f t="shared" ca="1" si="211"/>
        <v>-1.0039964388042875</v>
      </c>
      <c r="E465" s="307">
        <f t="shared" ca="1" si="212"/>
        <v>-13.566827306116014</v>
      </c>
      <c r="F465" s="304">
        <f t="shared" ca="1" si="213"/>
        <v>13.603926345107386</v>
      </c>
      <c r="G465" s="306">
        <f t="shared" ca="1" si="214"/>
        <v>55.708169905894366</v>
      </c>
      <c r="H465" s="307">
        <f t="shared" ca="1" si="215"/>
        <v>208.35480459940686</v>
      </c>
      <c r="I465" s="304">
        <f t="shared" ca="1" si="216"/>
        <v>215.67365345336228</v>
      </c>
      <c r="J465" s="306">
        <f t="shared" ca="1" si="217"/>
        <v>141.19471015556803</v>
      </c>
      <c r="K465" s="307">
        <f t="shared" ca="1" si="218"/>
        <v>579.52419061104365</v>
      </c>
      <c r="L465" s="304">
        <f t="shared" ca="1" si="203"/>
        <v>596.47651561423618</v>
      </c>
      <c r="M465" s="306">
        <f t="shared" ca="1" si="219"/>
        <v>1.3095358621572146</v>
      </c>
      <c r="N465" s="304">
        <f t="shared" ca="1" si="220"/>
        <v>75.030878022633928</v>
      </c>
      <c r="P465" s="310">
        <f t="shared" ca="1" si="221"/>
        <v>20</v>
      </c>
      <c r="Q465" s="304">
        <f t="shared" ca="1" si="222"/>
        <v>74.700000000023536</v>
      </c>
      <c r="R465" s="306">
        <f t="shared" ca="1" si="223"/>
        <v>3.7419639887752688E-2</v>
      </c>
      <c r="S465" s="307">
        <f t="shared" ca="1" si="224"/>
        <v>12.411853449365232</v>
      </c>
      <c r="T465" s="304">
        <f t="shared" ca="1" si="204"/>
        <v>121.76028233827293</v>
      </c>
      <c r="U465" s="311">
        <f t="shared" ca="1" si="205"/>
        <v>0</v>
      </c>
      <c r="V465" s="306">
        <f t="shared" ca="1" si="206"/>
        <v>1.1560074298197418</v>
      </c>
      <c r="W465" s="304">
        <f t="shared" ca="1" si="207"/>
        <v>122.78772659335745</v>
      </c>
      <c r="Y465" s="314" t="str">
        <f t="shared" ca="1" si="225"/>
        <v/>
      </c>
      <c r="Z465" s="315" t="str">
        <f t="shared" ca="1" si="226"/>
        <v/>
      </c>
      <c r="AA465" s="316" t="str">
        <f t="shared" ca="1" si="227"/>
        <v/>
      </c>
      <c r="AC465" s="310" t="e">
        <f t="shared" ca="1" si="228"/>
        <v>#N/A</v>
      </c>
      <c r="AD465" s="323" t="e">
        <f t="shared" ca="1" si="229"/>
        <v>#N/A</v>
      </c>
      <c r="AE465" s="324">
        <f t="shared" ca="1" si="208"/>
        <v>579.52419061104365</v>
      </c>
      <c r="AG465" s="306">
        <f t="shared" ca="1" si="230"/>
        <v>-13.366067578550801</v>
      </c>
      <c r="AH465" s="304">
        <f t="shared" ca="1" si="231"/>
        <v>-3.8886707570981875</v>
      </c>
    </row>
    <row r="466" spans="1:34" x14ac:dyDescent="0.25">
      <c r="A466" s="347">
        <f t="shared" ca="1" si="209"/>
        <v>0.01</v>
      </c>
      <c r="B466" s="304">
        <f t="shared" ca="1" si="210"/>
        <v>4.6199999999999459</v>
      </c>
      <c r="D466" s="306">
        <f t="shared" ca="1" si="211"/>
        <v>-1.0923334722726084</v>
      </c>
      <c r="E466" s="307">
        <f t="shared" ca="1" si="212"/>
        <v>-13.895449720520613</v>
      </c>
      <c r="F466" s="304">
        <f t="shared" ca="1" si="213"/>
        <v>13.938318239664479</v>
      </c>
      <c r="G466" s="306">
        <f t="shared" ca="1" si="214"/>
        <v>55.69724657117164</v>
      </c>
      <c r="H466" s="307">
        <f t="shared" ca="1" si="215"/>
        <v>208.21585010220164</v>
      </c>
      <c r="I466" s="304">
        <f t="shared" ca="1" si="216"/>
        <v>215.53659436251746</v>
      </c>
      <c r="J466" s="306">
        <f t="shared" ca="1" si="217"/>
        <v>141.75173723795336</v>
      </c>
      <c r="K466" s="307">
        <f t="shared" ca="1" si="218"/>
        <v>581.60704388455167</v>
      </c>
      <c r="L466" s="304">
        <f t="shared" ca="1" si="203"/>
        <v>598.63203097236999</v>
      </c>
      <c r="M466" s="306">
        <f t="shared" ca="1" si="219"/>
        <v>1.3094182993931891</v>
      </c>
      <c r="N466" s="304">
        <f t="shared" ca="1" si="220"/>
        <v>75.024142172427375</v>
      </c>
      <c r="P466" s="310">
        <f t="shared" ca="1" si="221"/>
        <v>20</v>
      </c>
      <c r="Q466" s="304">
        <f t="shared" ca="1" si="222"/>
        <v>70.300000000023687</v>
      </c>
      <c r="R466" s="306">
        <f t="shared" ca="1" si="223"/>
        <v>3.5215537939880477E-2</v>
      </c>
      <c r="S466" s="307">
        <f t="shared" ca="1" si="224"/>
        <v>12.411501293985832</v>
      </c>
      <c r="T466" s="304">
        <f t="shared" ca="1" si="204"/>
        <v>121.75682769400102</v>
      </c>
      <c r="U466" s="311">
        <f t="shared" ca="1" si="205"/>
        <v>0</v>
      </c>
      <c r="V466" s="306">
        <f t="shared" ca="1" si="206"/>
        <v>1.1557664724878447</v>
      </c>
      <c r="W466" s="304">
        <f t="shared" ca="1" si="207"/>
        <v>122.6061534432155</v>
      </c>
      <c r="Y466" s="314" t="str">
        <f t="shared" ca="1" si="225"/>
        <v/>
      </c>
      <c r="Z466" s="315" t="str">
        <f t="shared" ca="1" si="226"/>
        <v/>
      </c>
      <c r="AA466" s="316" t="str">
        <f t="shared" ca="1" si="227"/>
        <v/>
      </c>
      <c r="AC466" s="310" t="e">
        <f t="shared" ca="1" si="228"/>
        <v>#N/A</v>
      </c>
      <c r="AD466" s="323" t="e">
        <f t="shared" ca="1" si="229"/>
        <v>#N/A</v>
      </c>
      <c r="AE466" s="324">
        <f t="shared" ca="1" si="208"/>
        <v>581.60704388455167</v>
      </c>
      <c r="AG466" s="306">
        <f t="shared" ca="1" si="230"/>
        <v>-13.706058031081817</v>
      </c>
      <c r="AH466" s="304">
        <f t="shared" ca="1" si="231"/>
        <v>-4.2289587174089425</v>
      </c>
    </row>
    <row r="467" spans="1:34" x14ac:dyDescent="0.25">
      <c r="A467" s="347">
        <f t="shared" ca="1" si="209"/>
        <v>0.01</v>
      </c>
      <c r="B467" s="304">
        <f t="shared" ca="1" si="210"/>
        <v>4.6299999999999457</v>
      </c>
      <c r="D467" s="306">
        <f t="shared" ca="1" si="211"/>
        <v>-1.1806743620721207</v>
      </c>
      <c r="E467" s="307">
        <f t="shared" ca="1" si="212"/>
        <v>-14.22377502707581</v>
      </c>
      <c r="F467" s="304">
        <f t="shared" ca="1" si="213"/>
        <v>14.272693087505241</v>
      </c>
      <c r="G467" s="306">
        <f t="shared" ca="1" si="214"/>
        <v>55.685439827550915</v>
      </c>
      <c r="H467" s="307">
        <f t="shared" ca="1" si="215"/>
        <v>208.07361235193088</v>
      </c>
      <c r="I467" s="304">
        <f t="shared" ca="1" si="216"/>
        <v>215.3961382336494</v>
      </c>
      <c r="J467" s="306">
        <f t="shared" ca="1" si="217"/>
        <v>142.30865066994699</v>
      </c>
      <c r="K467" s="307">
        <f t="shared" ca="1" si="218"/>
        <v>583.68849119682238</v>
      </c>
      <c r="L467" s="304">
        <f t="shared" ca="1" si="203"/>
        <v>600.7861573065112</v>
      </c>
      <c r="M467" s="306">
        <f t="shared" ca="1" si="219"/>
        <v>1.3093006082435024</v>
      </c>
      <c r="N467" s="304">
        <f t="shared" ca="1" si="220"/>
        <v>75.017398966264281</v>
      </c>
      <c r="P467" s="310">
        <f t="shared" ca="1" si="221"/>
        <v>20</v>
      </c>
      <c r="Q467" s="304">
        <f t="shared" ca="1" si="222"/>
        <v>65.900000000023837</v>
      </c>
      <c r="R467" s="306">
        <f t="shared" ca="1" si="223"/>
        <v>3.3011435992008266E-2</v>
      </c>
      <c r="S467" s="307">
        <f t="shared" ca="1" si="224"/>
        <v>12.411171179625912</v>
      </c>
      <c r="T467" s="304">
        <f t="shared" ca="1" si="204"/>
        <v>121.7535892721302</v>
      </c>
      <c r="U467" s="311">
        <f t="shared" ca="1" si="205"/>
        <v>0</v>
      </c>
      <c r="V467" s="306">
        <f t="shared" ca="1" si="206"/>
        <v>1.1555257265215704</v>
      </c>
      <c r="W467" s="304">
        <f t="shared" ca="1" si="207"/>
        <v>122.42090539964411</v>
      </c>
      <c r="Y467" s="314" t="str">
        <f t="shared" ca="1" si="225"/>
        <v/>
      </c>
      <c r="Z467" s="315" t="str">
        <f t="shared" ca="1" si="226"/>
        <v/>
      </c>
      <c r="AA467" s="316" t="str">
        <f t="shared" ca="1" si="227"/>
        <v/>
      </c>
      <c r="AC467" s="310" t="e">
        <f t="shared" ca="1" si="228"/>
        <v>#N/A</v>
      </c>
      <c r="AD467" s="323" t="e">
        <f t="shared" ca="1" si="229"/>
        <v>#N/A</v>
      </c>
      <c r="AE467" s="324">
        <f t="shared" ca="1" si="208"/>
        <v>583.68849119682238</v>
      </c>
      <c r="AG467" s="306">
        <f t="shared" ca="1" si="230"/>
        <v>-14.045762061628448</v>
      </c>
      <c r="AH467" s="304">
        <f t="shared" ca="1" si="231"/>
        <v>-4.5689607066479008</v>
      </c>
    </row>
    <row r="468" spans="1:34" x14ac:dyDescent="0.25">
      <c r="A468" s="347">
        <f t="shared" ca="1" si="209"/>
        <v>0.01</v>
      </c>
      <c r="B468" s="304">
        <f t="shared" ca="1" si="210"/>
        <v>4.6399999999999455</v>
      </c>
      <c r="D468" s="306">
        <f t="shared" ca="1" si="211"/>
        <v>-1.2690189441925883</v>
      </c>
      <c r="E468" s="307">
        <f t="shared" ca="1" si="212"/>
        <v>-14.551802465400376</v>
      </c>
      <c r="F468" s="304">
        <f t="shared" ca="1" si="213"/>
        <v>14.607031323056447</v>
      </c>
      <c r="G468" s="306">
        <f t="shared" ca="1" si="214"/>
        <v>55.672749638108989</v>
      </c>
      <c r="H468" s="307">
        <f t="shared" ca="1" si="215"/>
        <v>207.92809432727688</v>
      </c>
      <c r="I468" s="304">
        <f t="shared" ca="1" si="216"/>
        <v>215.25228793868953</v>
      </c>
      <c r="J468" s="306">
        <f t="shared" ca="1" si="217"/>
        <v>142.86544161727528</v>
      </c>
      <c r="K468" s="307">
        <f t="shared" ca="1" si="218"/>
        <v>585.76849973021842</v>
      </c>
      <c r="L468" s="304">
        <f t="shared" ca="1" si="203"/>
        <v>602.93886065229697</v>
      </c>
      <c r="M468" s="306">
        <f t="shared" ca="1" si="219"/>
        <v>1.3091827866278964</v>
      </c>
      <c r="N468" s="304">
        <f t="shared" ca="1" si="220"/>
        <v>75.010648284954655</v>
      </c>
      <c r="P468" s="310">
        <f t="shared" ca="1" si="221"/>
        <v>20</v>
      </c>
      <c r="Q468" s="304">
        <f t="shared" ca="1" si="222"/>
        <v>61.500000000023995</v>
      </c>
      <c r="R468" s="306">
        <f t="shared" ca="1" si="223"/>
        <v>3.0807334044136055E-2</v>
      </c>
      <c r="S468" s="307">
        <f t="shared" ca="1" si="224"/>
        <v>12.41086310628547</v>
      </c>
      <c r="T468" s="304">
        <f t="shared" ca="1" si="204"/>
        <v>121.75056707266047</v>
      </c>
      <c r="U468" s="311">
        <f t="shared" ca="1" si="205"/>
        <v>0</v>
      </c>
      <c r="V468" s="306">
        <f t="shared" ca="1" si="206"/>
        <v>1.1552851956021055</v>
      </c>
      <c r="W468" s="304">
        <f t="shared" ca="1" si="207"/>
        <v>122.23199593006771</v>
      </c>
      <c r="Y468" s="314" t="str">
        <f t="shared" ca="1" si="225"/>
        <v/>
      </c>
      <c r="Z468" s="315" t="str">
        <f t="shared" ca="1" si="226"/>
        <v/>
      </c>
      <c r="AA468" s="316" t="str">
        <f t="shared" ca="1" si="227"/>
        <v/>
      </c>
      <c r="AC468" s="310" t="e">
        <f t="shared" ca="1" si="228"/>
        <v>#N/A</v>
      </c>
      <c r="AD468" s="323" t="e">
        <f t="shared" ca="1" si="229"/>
        <v>#N/A</v>
      </c>
      <c r="AE468" s="324">
        <f t="shared" ca="1" si="208"/>
        <v>585.76849973021842</v>
      </c>
      <c r="AG468" s="306">
        <f t="shared" ca="1" si="230"/>
        <v>-14.385178901876877</v>
      </c>
      <c r="AH468" s="304">
        <f t="shared" ca="1" si="231"/>
        <v>-4.9086759621711389</v>
      </c>
    </row>
    <row r="469" spans="1:34" x14ac:dyDescent="0.25">
      <c r="A469" s="347">
        <f t="shared" ca="1" si="209"/>
        <v>0.01</v>
      </c>
      <c r="B469" s="304">
        <f t="shared" ca="1" si="210"/>
        <v>4.6499999999999453</v>
      </c>
      <c r="D469" s="306">
        <f t="shared" ca="1" si="211"/>
        <v>-1.3573670610748849</v>
      </c>
      <c r="E469" s="307">
        <f t="shared" ca="1" si="212"/>
        <v>-14.879531290380577</v>
      </c>
      <c r="F469" s="304">
        <f t="shared" ca="1" si="213"/>
        <v>14.941315094726626</v>
      </c>
      <c r="G469" s="306">
        <f t="shared" ca="1" si="214"/>
        <v>55.659175967498243</v>
      </c>
      <c r="H469" s="307">
        <f t="shared" ca="1" si="215"/>
        <v>207.77929901437307</v>
      </c>
      <c r="I469" s="304">
        <f t="shared" ca="1" si="216"/>
        <v>215.1050463570885</v>
      </c>
      <c r="J469" s="306">
        <f t="shared" ca="1" si="217"/>
        <v>143.42210124530331</v>
      </c>
      <c r="K469" s="307">
        <f t="shared" ca="1" si="218"/>
        <v>587.84703669692669</v>
      </c>
      <c r="L469" s="304">
        <f t="shared" ca="1" si="203"/>
        <v>605.09010707412483</v>
      </c>
      <c r="M469" s="306">
        <f t="shared" ca="1" si="219"/>
        <v>1.3090648324564322</v>
      </c>
      <c r="N469" s="304">
        <f t="shared" ca="1" si="220"/>
        <v>75.0038900087538</v>
      </c>
      <c r="P469" s="310">
        <f t="shared" ca="1" si="221"/>
        <v>20</v>
      </c>
      <c r="Q469" s="304">
        <f t="shared" ca="1" si="222"/>
        <v>57.100000000024153</v>
      </c>
      <c r="R469" s="306">
        <f t="shared" ca="1" si="223"/>
        <v>2.8603232096263843E-2</v>
      </c>
      <c r="S469" s="307">
        <f t="shared" ca="1" si="224"/>
        <v>12.410577073964507</v>
      </c>
      <c r="T469" s="304">
        <f t="shared" ca="1" si="204"/>
        <v>121.74776109559183</v>
      </c>
      <c r="U469" s="311">
        <f t="shared" ca="1" si="205"/>
        <v>0</v>
      </c>
      <c r="V469" s="306">
        <f t="shared" ca="1" si="206"/>
        <v>1.1550448834042564</v>
      </c>
      <c r="W469" s="304">
        <f t="shared" ca="1" si="207"/>
        <v>122.03943866820879</v>
      </c>
      <c r="Y469" s="314" t="str">
        <f t="shared" ca="1" si="225"/>
        <v/>
      </c>
      <c r="Z469" s="315" t="str">
        <f t="shared" ca="1" si="226"/>
        <v/>
      </c>
      <c r="AA469" s="316" t="str">
        <f t="shared" ca="1" si="227"/>
        <v/>
      </c>
      <c r="AC469" s="310" t="e">
        <f t="shared" ca="1" si="228"/>
        <v>#N/A</v>
      </c>
      <c r="AD469" s="323" t="e">
        <f t="shared" ca="1" si="229"/>
        <v>#N/A</v>
      </c>
      <c r="AE469" s="324">
        <f t="shared" ca="1" si="208"/>
        <v>587.84703669692669</v>
      </c>
      <c r="AG469" s="306">
        <f t="shared" ca="1" si="230"/>
        <v>-14.724307799938053</v>
      </c>
      <c r="AH469" s="304">
        <f t="shared" ca="1" si="231"/>
        <v>-5.2481037377931861</v>
      </c>
    </row>
    <row r="470" spans="1:34" x14ac:dyDescent="0.25">
      <c r="A470" s="347">
        <f t="shared" ca="1" si="209"/>
        <v>0.01</v>
      </c>
      <c r="B470" s="304">
        <f t="shared" ca="1" si="210"/>
        <v>4.6599999999999451</v>
      </c>
      <c r="D470" s="306">
        <f t="shared" ca="1" si="211"/>
        <v>-1.4764712467587364</v>
      </c>
      <c r="E470" s="307">
        <f t="shared" ca="1" si="212"/>
        <v>-15.321762532121383</v>
      </c>
      <c r="F470" s="304">
        <f t="shared" ca="1" si="213"/>
        <v>15.39273771728811</v>
      </c>
      <c r="G470" s="306">
        <f t="shared" ca="1" si="214"/>
        <v>55.644411255030654</v>
      </c>
      <c r="H470" s="307">
        <f t="shared" ca="1" si="215"/>
        <v>207.62608138905185</v>
      </c>
      <c r="I470" s="304">
        <f t="shared" ca="1" si="216"/>
        <v>214.95322788200266</v>
      </c>
      <c r="J470" s="306">
        <f t="shared" ca="1" si="217"/>
        <v>143.97861918141595</v>
      </c>
      <c r="K470" s="307">
        <f t="shared" ca="1" si="218"/>
        <v>589.9240635989438</v>
      </c>
      <c r="L470" s="304">
        <f t="shared" ca="1" si="203"/>
        <v>607.23985672424192</v>
      </c>
      <c r="M470" s="306">
        <f t="shared" ca="1" si="219"/>
        <v>1.3089467429763508</v>
      </c>
      <c r="N470" s="304">
        <f t="shared" ca="1" si="220"/>
        <v>74.997123979940241</v>
      </c>
      <c r="P470" s="310">
        <f t="shared" ca="1" si="221"/>
        <v>21</v>
      </c>
      <c r="Q470" s="304">
        <f t="shared" ca="1" si="222"/>
        <v>51.225000000040474</v>
      </c>
      <c r="R470" s="306">
        <f t="shared" ca="1" si="223"/>
        <v>2.5660255063601634E-2</v>
      </c>
      <c r="S470" s="307">
        <f t="shared" ca="1" si="224"/>
        <v>12.410320471413872</v>
      </c>
      <c r="T470" s="304">
        <f t="shared" ca="1" si="204"/>
        <v>121.7452438245701</v>
      </c>
      <c r="U470" s="311">
        <f t="shared" ca="1" si="205"/>
        <v>0</v>
      </c>
      <c r="V470" s="306">
        <f t="shared" ca="1" si="206"/>
        <v>1.1548047942598978</v>
      </c>
      <c r="W470" s="304">
        <f t="shared" ca="1" si="207"/>
        <v>121.84190013206016</v>
      </c>
      <c r="Y470" s="314" t="str">
        <f t="shared" ca="1" si="225"/>
        <v/>
      </c>
      <c r="Z470" s="315" t="str">
        <f t="shared" ca="1" si="226"/>
        <v/>
      </c>
      <c r="AA470" s="316" t="str">
        <f t="shared" ca="1" si="227"/>
        <v/>
      </c>
      <c r="AC470" s="310" t="e">
        <f t="shared" ca="1" si="228"/>
        <v>#N/A</v>
      </c>
      <c r="AD470" s="323" t="e">
        <f t="shared" ca="1" si="229"/>
        <v>#N/A</v>
      </c>
      <c r="AE470" s="324">
        <f t="shared" ca="1" si="208"/>
        <v>589.9240635989438</v>
      </c>
      <c r="AG470" s="306">
        <f t="shared" ca="1" si="230"/>
        <v>-15.181997386067113</v>
      </c>
      <c r="AH470" s="304">
        <f t="shared" ca="1" si="231"/>
        <v>-5.7060926695070782</v>
      </c>
    </row>
    <row r="471" spans="1:34" x14ac:dyDescent="0.25">
      <c r="A471" s="347">
        <f t="shared" ca="1" si="209"/>
        <v>0.01</v>
      </c>
      <c r="B471" s="304">
        <f t="shared" ca="1" si="210"/>
        <v>4.6699999999999449</v>
      </c>
      <c r="D471" s="306">
        <f t="shared" ca="1" si="211"/>
        <v>-1.6263444914074108</v>
      </c>
      <c r="E471" s="307">
        <f t="shared" ca="1" si="212"/>
        <v>-15.878381821706549</v>
      </c>
      <c r="F471" s="304">
        <f t="shared" ca="1" si="213"/>
        <v>15.961453745841329</v>
      </c>
      <c r="G471" s="306">
        <f t="shared" ca="1" si="214"/>
        <v>55.62814781011658</v>
      </c>
      <c r="H471" s="307">
        <f t="shared" ca="1" si="215"/>
        <v>207.46729757083477</v>
      </c>
      <c r="I471" s="304">
        <f t="shared" ca="1" si="216"/>
        <v>214.79564797762893</v>
      </c>
      <c r="J471" s="306">
        <f t="shared" ca="1" si="217"/>
        <v>144.53498197674168</v>
      </c>
      <c r="K471" s="307">
        <f t="shared" ca="1" si="218"/>
        <v>591.99953049374324</v>
      </c>
      <c r="L471" s="304">
        <f t="shared" ca="1" si="203"/>
        <v>609.38805790713479</v>
      </c>
      <c r="M471" s="306">
        <f t="shared" ca="1" si="219"/>
        <v>1.3088285147672074</v>
      </c>
      <c r="N471" s="304">
        <f t="shared" ca="1" si="220"/>
        <v>74.990350002536928</v>
      </c>
      <c r="P471" s="310">
        <f t="shared" ca="1" si="221"/>
        <v>21</v>
      </c>
      <c r="Q471" s="304">
        <f t="shared" ca="1" si="222"/>
        <v>43.875000000040473</v>
      </c>
      <c r="R471" s="306">
        <f t="shared" ca="1" si="223"/>
        <v>2.1978402946133152E-2</v>
      </c>
      <c r="S471" s="307">
        <f t="shared" ca="1" si="224"/>
        <v>12.410100687384411</v>
      </c>
      <c r="T471" s="304">
        <f t="shared" ca="1" si="204"/>
        <v>121.74308774324108</v>
      </c>
      <c r="U471" s="311">
        <f t="shared" ca="1" si="205"/>
        <v>0</v>
      </c>
      <c r="V471" s="306">
        <f t="shared" ca="1" si="206"/>
        <v>1.1545649338199604</v>
      </c>
      <c r="W471" s="304">
        <f t="shared" ca="1" si="207"/>
        <v>121.63805337287671</v>
      </c>
      <c r="Y471" s="314" t="str">
        <f t="shared" ca="1" si="225"/>
        <v/>
      </c>
      <c r="Z471" s="315" t="str">
        <f t="shared" ca="1" si="226"/>
        <v/>
      </c>
      <c r="AA471" s="316" t="str">
        <f t="shared" ca="1" si="227"/>
        <v/>
      </c>
      <c r="AC471" s="310" t="e">
        <f t="shared" ca="1" si="228"/>
        <v>#N/A</v>
      </c>
      <c r="AD471" s="323" t="e">
        <f t="shared" ca="1" si="229"/>
        <v>#N/A</v>
      </c>
      <c r="AE471" s="324">
        <f t="shared" ca="1" si="208"/>
        <v>591.99953049374324</v>
      </c>
      <c r="AG471" s="306">
        <f t="shared" ca="1" si="230"/>
        <v>-15.758140557078454</v>
      </c>
      <c r="AH471" s="304">
        <f t="shared" ca="1" si="231"/>
        <v>-6.2825356615581356</v>
      </c>
    </row>
    <row r="472" spans="1:34" x14ac:dyDescent="0.25">
      <c r="A472" s="347">
        <f t="shared" ca="1" si="209"/>
        <v>0.01</v>
      </c>
      <c r="B472" s="304">
        <f t="shared" ca="1" si="210"/>
        <v>4.6799999999999446</v>
      </c>
      <c r="D472" s="306">
        <f t="shared" ca="1" si="211"/>
        <v>-2.1189766633817784</v>
      </c>
      <c r="E472" s="307">
        <f t="shared" ca="1" si="212"/>
        <v>-17.71280423263585</v>
      </c>
      <c r="F472" s="304">
        <f t="shared" ca="1" si="213"/>
        <v>17.839100198262216</v>
      </c>
      <c r="G472" s="306">
        <f t="shared" ca="1" si="214"/>
        <v>55.606958043482763</v>
      </c>
      <c r="H472" s="307">
        <f t="shared" ca="1" si="215"/>
        <v>207.29016952850841</v>
      </c>
      <c r="I472" s="304">
        <f t="shared" ca="1" si="216"/>
        <v>214.61907689207735</v>
      </c>
      <c r="J472" s="306">
        <f t="shared" ca="1" si="217"/>
        <v>145.09115750600967</v>
      </c>
      <c r="K472" s="307">
        <f t="shared" ca="1" si="218"/>
        <v>594.07331782923995</v>
      </c>
      <c r="L472" s="304">
        <f t="shared" ca="1" si="203"/>
        <v>611.53458687393538</v>
      </c>
      <c r="M472" s="306">
        <f t="shared" ca="1" si="219"/>
        <v>1.3087101370916496</v>
      </c>
      <c r="N472" s="304">
        <f t="shared" ca="1" si="220"/>
        <v>74.983567461338893</v>
      </c>
      <c r="P472" s="310">
        <f t="shared" ca="1" si="221"/>
        <v>22</v>
      </c>
      <c r="Q472" s="304">
        <f t="shared" ca="1" si="222"/>
        <v>20.100000000221371</v>
      </c>
      <c r="R472" s="306">
        <f t="shared" ca="1" si="223"/>
        <v>1.0068738443800211E-2</v>
      </c>
      <c r="S472" s="307">
        <f t="shared" ca="1" si="224"/>
        <v>12.409999999999973</v>
      </c>
      <c r="T472" s="304">
        <f t="shared" ca="1" si="204"/>
        <v>121.74209999999975</v>
      </c>
      <c r="U472" s="311">
        <f t="shared" ca="1" si="205"/>
        <v>0</v>
      </c>
      <c r="V472" s="306">
        <f t="shared" ca="1" si="206"/>
        <v>1.1543253157731763</v>
      </c>
      <c r="W472" s="304">
        <f t="shared" ca="1" si="207"/>
        <v>121.41294910954362</v>
      </c>
      <c r="Y472" s="314" t="str">
        <f t="shared" ca="1" si="225"/>
        <v/>
      </c>
      <c r="Z472" s="315" t="str">
        <f t="shared" ca="1" si="226"/>
        <v/>
      </c>
      <c r="AA472" s="316" t="str">
        <f t="shared" ca="1" si="227"/>
        <v/>
      </c>
      <c r="AC472" s="310" t="e">
        <f t="shared" ca="1" si="228"/>
        <v>#N/A</v>
      </c>
      <c r="AD472" s="323" t="e">
        <f t="shared" ca="1" si="229"/>
        <v>#N/A</v>
      </c>
      <c r="AE472" s="324">
        <f t="shared" ca="1" si="208"/>
        <v>594.07331782923995</v>
      </c>
      <c r="AG472" s="306">
        <f t="shared" ca="1" si="230"/>
        <v>-17.65725893095378</v>
      </c>
      <c r="AH472" s="304">
        <f t="shared" ca="1" si="231"/>
        <v>-8.1819543410681348</v>
      </c>
    </row>
    <row r="473" spans="1:34" x14ac:dyDescent="0.25">
      <c r="A473" s="347">
        <f t="shared" ca="1" si="209"/>
        <v>0.01</v>
      </c>
      <c r="B473" s="304">
        <f t="shared" ca="1" si="210"/>
        <v>4.6899999999999444</v>
      </c>
      <c r="D473" s="306">
        <f t="shared" ca="1" si="211"/>
        <v>-2.534860371562996</v>
      </c>
      <c r="E473" s="307">
        <f t="shared" ca="1" si="212"/>
        <v>-19.259386455225723</v>
      </c>
      <c r="F473" s="304">
        <f t="shared" ca="1" si="213"/>
        <v>19.425485418260532</v>
      </c>
      <c r="G473" s="306">
        <f t="shared" ca="1" si="214"/>
        <v>55.581609439767135</v>
      </c>
      <c r="H473" s="307">
        <f t="shared" ca="1" si="215"/>
        <v>207.09757566395615</v>
      </c>
      <c r="I473" s="304">
        <f t="shared" ca="1" si="216"/>
        <v>214.42649359116714</v>
      </c>
      <c r="J473" s="306">
        <f t="shared" ca="1" si="217"/>
        <v>145.6471003434259</v>
      </c>
      <c r="K473" s="307">
        <f t="shared" ca="1" si="218"/>
        <v>596.14525655520231</v>
      </c>
      <c r="L473" s="304">
        <f t="shared" ca="1" si="203"/>
        <v>613.67926863445211</v>
      </c>
      <c r="M473" s="306">
        <f t="shared" ca="1" si="219"/>
        <v>1.3085916007881613</v>
      </c>
      <c r="N473" s="304">
        <f t="shared" ca="1" si="220"/>
        <v>74.976775831429933</v>
      </c>
      <c r="P473" s="310">
        <f t="shared" ca="1" si="221"/>
        <v>23</v>
      </c>
      <c r="Q473" s="304">
        <f t="shared" ca="1" si="222"/>
        <v>0</v>
      </c>
      <c r="R473" s="306">
        <f t="shared" ca="1" si="223"/>
        <v>0</v>
      </c>
      <c r="S473" s="307">
        <f t="shared" ca="1" si="224"/>
        <v>12.409999999999973</v>
      </c>
      <c r="T473" s="304">
        <f t="shared" ca="1" si="204"/>
        <v>121.74209999999975</v>
      </c>
      <c r="U473" s="311">
        <f t="shared" ca="1" si="205"/>
        <v>0</v>
      </c>
      <c r="V473" s="306">
        <f t="shared" ca="1" si="206"/>
        <v>1.1540859595149056</v>
      </c>
      <c r="W473" s="304">
        <f t="shared" ca="1" si="207"/>
        <v>121.17002231262161</v>
      </c>
      <c r="Y473" s="314" t="str">
        <f t="shared" ca="1" si="225"/>
        <v>Fin de propulsion</v>
      </c>
      <c r="Z473" s="315" t="str">
        <f t="shared" ca="1" si="226"/>
        <v/>
      </c>
      <c r="AA473" s="316" t="str">
        <f t="shared" ca="1" si="227"/>
        <v/>
      </c>
      <c r="AC473" s="310" t="e">
        <f t="shared" ca="1" si="228"/>
        <v>#N/A</v>
      </c>
      <c r="AD473" s="323" t="e">
        <f t="shared" ca="1" si="229"/>
        <v>#N/A</v>
      </c>
      <c r="AE473" s="324">
        <f t="shared" ca="1" si="208"/>
        <v>596.14525655520231</v>
      </c>
      <c r="AG473" s="306">
        <f t="shared" ca="1" si="230"/>
        <v>-19.258480734798873</v>
      </c>
      <c r="AH473" s="304">
        <f t="shared" ca="1" si="231"/>
        <v>-9.7834769628963638</v>
      </c>
    </row>
    <row r="474" spans="1:34" x14ac:dyDescent="0.25">
      <c r="A474" s="347">
        <f t="shared" ca="1" si="209"/>
        <v>0.01</v>
      </c>
      <c r="B474" s="304">
        <f t="shared" ca="1" si="210"/>
        <v>4.6999999999999442</v>
      </c>
      <c r="D474" s="306">
        <f t="shared" ca="1" si="211"/>
        <v>-2.5309063806997174</v>
      </c>
      <c r="E474" s="307">
        <f t="shared" ca="1" si="212"/>
        <v>-19.24017989148652</v>
      </c>
      <c r="F474" s="304">
        <f t="shared" ca="1" si="213"/>
        <v>19.405927170960648</v>
      </c>
      <c r="G474" s="306">
        <f t="shared" ca="1" si="214"/>
        <v>55.556300375960134</v>
      </c>
      <c r="H474" s="307">
        <f t="shared" ca="1" si="215"/>
        <v>206.90517386504129</v>
      </c>
      <c r="I474" s="304">
        <f t="shared" ca="1" si="216"/>
        <v>214.23410905732746</v>
      </c>
      <c r="J474" s="306">
        <f t="shared" ca="1" si="217"/>
        <v>146.20278989250454</v>
      </c>
      <c r="K474" s="307">
        <f t="shared" ca="1" si="218"/>
        <v>598.21527030284733</v>
      </c>
      <c r="L474" s="304">
        <f t="shared" ca="1" si="203"/>
        <v>615.82202412374022</v>
      </c>
      <c r="M474" s="306">
        <f t="shared" ca="1" si="219"/>
        <v>1.3084729056131819</v>
      </c>
      <c r="N474" s="304">
        <f t="shared" ca="1" si="220"/>
        <v>74.969975098855045</v>
      </c>
      <c r="P474" s="310">
        <f t="shared" ca="1" si="221"/>
        <v>23</v>
      </c>
      <c r="Q474" s="304">
        <f t="shared" ca="1" si="222"/>
        <v>0</v>
      </c>
      <c r="R474" s="306">
        <f t="shared" ca="1" si="223"/>
        <v>0</v>
      </c>
      <c r="S474" s="307">
        <f t="shared" ca="1" si="224"/>
        <v>12.409999999999973</v>
      </c>
      <c r="T474" s="304">
        <f t="shared" ca="1" si="204"/>
        <v>121.74209999999975</v>
      </c>
      <c r="U474" s="311">
        <f t="shared" ca="1" si="205"/>
        <v>0</v>
      </c>
      <c r="V474" s="306">
        <f t="shared" ca="1" si="206"/>
        <v>1.1538468737213841</v>
      </c>
      <c r="W474" s="304">
        <f t="shared" ca="1" si="207"/>
        <v>120.92763401898554</v>
      </c>
      <c r="Y474" s="314" t="str">
        <f t="shared" ca="1" si="225"/>
        <v/>
      </c>
      <c r="Z474" s="315" t="str">
        <f t="shared" ca="1" si="226"/>
        <v/>
      </c>
      <c r="AA474" s="316" t="str">
        <f t="shared" ca="1" si="227"/>
        <v/>
      </c>
      <c r="AC474" s="310" t="e">
        <f t="shared" ca="1" si="228"/>
        <v>#N/A</v>
      </c>
      <c r="AD474" s="323" t="e">
        <f t="shared" ca="1" si="229"/>
        <v>#N/A</v>
      </c>
      <c r="AE474" s="324">
        <f t="shared" ca="1" si="208"/>
        <v>598.21527030284733</v>
      </c>
      <c r="AG474" s="306">
        <f t="shared" ca="1" si="230"/>
        <v>-19.23860429631096</v>
      </c>
      <c r="AH474" s="304">
        <f t="shared" ca="1" si="231"/>
        <v>-9.7639018785352025</v>
      </c>
    </row>
    <row r="475" spans="1:34" x14ac:dyDescent="0.25">
      <c r="A475" s="347">
        <f t="shared" ca="1" si="209"/>
        <v>0.01</v>
      </c>
      <c r="B475" s="304">
        <f t="shared" ca="1" si="210"/>
        <v>4.709999999999944</v>
      </c>
      <c r="D475" s="306">
        <f t="shared" ca="1" si="211"/>
        <v>-2.5269606201275767</v>
      </c>
      <c r="E475" s="307">
        <f t="shared" ca="1" si="212"/>
        <v>-19.221015904936834</v>
      </c>
      <c r="F475" s="304">
        <f t="shared" ca="1" si="213"/>
        <v>19.386412313615697</v>
      </c>
      <c r="G475" s="306">
        <f t="shared" ca="1" si="214"/>
        <v>55.531030769758857</v>
      </c>
      <c r="H475" s="307">
        <f t="shared" ca="1" si="215"/>
        <v>206.71296370599191</v>
      </c>
      <c r="I475" s="304">
        <f t="shared" ca="1" si="216"/>
        <v>214.04192286200998</v>
      </c>
      <c r="J475" s="306">
        <f t="shared" ca="1" si="217"/>
        <v>146.75822654823313</v>
      </c>
      <c r="K475" s="307">
        <f t="shared" ca="1" si="218"/>
        <v>600.28336099070248</v>
      </c>
      <c r="L475" s="304">
        <f t="shared" ca="1" si="203"/>
        <v>617.96285530918169</v>
      </c>
      <c r="M475" s="306">
        <f t="shared" ca="1" si="219"/>
        <v>1.3083540513225989</v>
      </c>
      <c r="N475" s="304">
        <f t="shared" ca="1" si="220"/>
        <v>74.963165249627622</v>
      </c>
      <c r="P475" s="310">
        <f t="shared" ca="1" si="221"/>
        <v>23</v>
      </c>
      <c r="Q475" s="304">
        <f t="shared" ca="1" si="222"/>
        <v>0</v>
      </c>
      <c r="R475" s="306">
        <f t="shared" ca="1" si="223"/>
        <v>0</v>
      </c>
      <c r="S475" s="307">
        <f t="shared" ca="1" si="224"/>
        <v>12.409999999999973</v>
      </c>
      <c r="T475" s="304">
        <f t="shared" ca="1" si="204"/>
        <v>121.74209999999975</v>
      </c>
      <c r="U475" s="311">
        <f t="shared" ca="1" si="205"/>
        <v>0</v>
      </c>
      <c r="V475" s="306">
        <f t="shared" ca="1" si="206"/>
        <v>1.1536080580225334</v>
      </c>
      <c r="W475" s="304">
        <f t="shared" ca="1" si="207"/>
        <v>120.68578268847646</v>
      </c>
      <c r="Y475" s="314" t="str">
        <f t="shared" ca="1" si="225"/>
        <v/>
      </c>
      <c r="Z475" s="315" t="str">
        <f t="shared" ca="1" si="226"/>
        <v/>
      </c>
      <c r="AA475" s="316" t="str">
        <f t="shared" ca="1" si="227"/>
        <v/>
      </c>
      <c r="AC475" s="310" t="e">
        <f t="shared" ca="1" si="228"/>
        <v>#N/A</v>
      </c>
      <c r="AD475" s="323" t="e">
        <f t="shared" ca="1" si="229"/>
        <v>#N/A</v>
      </c>
      <c r="AE475" s="324">
        <f t="shared" ca="1" si="208"/>
        <v>600.28336099070248</v>
      </c>
      <c r="AG475" s="306">
        <f t="shared" ca="1" si="230"/>
        <v>-19.218770713219836</v>
      </c>
      <c r="AH475" s="304">
        <f t="shared" ca="1" si="231"/>
        <v>-9.7443701868642876</v>
      </c>
    </row>
    <row r="476" spans="1:34" x14ac:dyDescent="0.25">
      <c r="A476" s="347">
        <f t="shared" ca="1" si="209"/>
        <v>0.01</v>
      </c>
      <c r="B476" s="304">
        <f t="shared" ca="1" si="210"/>
        <v>4.7199999999999438</v>
      </c>
      <c r="D476" s="306">
        <f t="shared" ca="1" si="211"/>
        <v>-2.5230230659287156</v>
      </c>
      <c r="E476" s="307">
        <f t="shared" ca="1" si="212"/>
        <v>-19.201894373780011</v>
      </c>
      <c r="F476" s="304">
        <f t="shared" ca="1" si="213"/>
        <v>19.366940722091673</v>
      </c>
      <c r="G476" s="306">
        <f t="shared" ca="1" si="214"/>
        <v>55.505800539099567</v>
      </c>
      <c r="H476" s="307">
        <f t="shared" ca="1" si="215"/>
        <v>206.52094476225412</v>
      </c>
      <c r="I476" s="304">
        <f t="shared" ca="1" si="216"/>
        <v>213.84993457791919</v>
      </c>
      <c r="J476" s="306">
        <f t="shared" ca="1" si="217"/>
        <v>147.31341070477743</v>
      </c>
      <c r="K476" s="307">
        <f t="shared" ca="1" si="218"/>
        <v>602.34953053304366</v>
      </c>
      <c r="L476" s="304">
        <f t="shared" ca="1" si="203"/>
        <v>620.10176415395927</v>
      </c>
      <c r="M476" s="306">
        <f t="shared" ca="1" si="219"/>
        <v>1.3082350376717462</v>
      </c>
      <c r="N476" s="304">
        <f t="shared" ca="1" si="220"/>
        <v>74.956346269729323</v>
      </c>
      <c r="P476" s="310">
        <f t="shared" ca="1" si="221"/>
        <v>23</v>
      </c>
      <c r="Q476" s="304">
        <f t="shared" ca="1" si="222"/>
        <v>0</v>
      </c>
      <c r="R476" s="306">
        <f t="shared" ca="1" si="223"/>
        <v>0</v>
      </c>
      <c r="S476" s="307">
        <f t="shared" ca="1" si="224"/>
        <v>12.409999999999973</v>
      </c>
      <c r="T476" s="304">
        <f t="shared" ca="1" si="204"/>
        <v>121.74209999999975</v>
      </c>
      <c r="U476" s="311">
        <f t="shared" ca="1" si="205"/>
        <v>0</v>
      </c>
      <c r="V476" s="306">
        <f t="shared" ca="1" si="206"/>
        <v>1.1533695120491545</v>
      </c>
      <c r="W476" s="304">
        <f t="shared" ca="1" si="207"/>
        <v>120.44446678656402</v>
      </c>
      <c r="Y476" s="314" t="str">
        <f t="shared" ca="1" si="225"/>
        <v/>
      </c>
      <c r="Z476" s="315" t="str">
        <f t="shared" ca="1" si="226"/>
        <v/>
      </c>
      <c r="AA476" s="316" t="str">
        <f t="shared" ca="1" si="227"/>
        <v/>
      </c>
      <c r="AC476" s="310" t="e">
        <f t="shared" ca="1" si="228"/>
        <v>#N/A</v>
      </c>
      <c r="AD476" s="323" t="e">
        <f t="shared" ca="1" si="229"/>
        <v>#N/A</v>
      </c>
      <c r="AE476" s="324">
        <f t="shared" ca="1" si="208"/>
        <v>602.34953053304366</v>
      </c>
      <c r="AG476" s="306">
        <f t="shared" ca="1" si="230"/>
        <v>-19.198979860266178</v>
      </c>
      <c r="AH476" s="304">
        <f t="shared" ca="1" si="231"/>
        <v>-9.7248817637773346</v>
      </c>
    </row>
    <row r="477" spans="1:34" x14ac:dyDescent="0.25">
      <c r="A477" s="347">
        <f t="shared" ca="1" si="209"/>
        <v>0.01</v>
      </c>
      <c r="B477" s="304">
        <f t="shared" ca="1" si="210"/>
        <v>4.7299999999999436</v>
      </c>
      <c r="D477" s="306">
        <f t="shared" ca="1" si="211"/>
        <v>-2.5190936942724527</v>
      </c>
      <c r="E477" s="307">
        <f t="shared" ca="1" si="212"/>
        <v>-19.182815176664484</v>
      </c>
      <c r="F477" s="304">
        <f t="shared" ca="1" si="213"/>
        <v>19.347512272708151</v>
      </c>
      <c r="G477" s="306">
        <f t="shared" ca="1" si="214"/>
        <v>55.480609602156846</v>
      </c>
      <c r="H477" s="307">
        <f t="shared" ca="1" si="215"/>
        <v>206.32911661048746</v>
      </c>
      <c r="I477" s="304">
        <f t="shared" ca="1" si="216"/>
        <v>213.65814377900759</v>
      </c>
      <c r="J477" s="306">
        <f t="shared" ca="1" si="217"/>
        <v>147.8683427554837</v>
      </c>
      <c r="K477" s="307">
        <f t="shared" ca="1" si="218"/>
        <v>604.41378083990742</v>
      </c>
      <c r="L477" s="304">
        <f t="shared" ca="1" si="203"/>
        <v>622.23875261706803</v>
      </c>
      <c r="M477" s="306">
        <f t="shared" ca="1" si="219"/>
        <v>1.3081158644154014</v>
      </c>
      <c r="N477" s="304">
        <f t="shared" ca="1" si="220"/>
        <v>74.949518145109934</v>
      </c>
      <c r="P477" s="310">
        <f t="shared" ca="1" si="221"/>
        <v>23</v>
      </c>
      <c r="Q477" s="304">
        <f t="shared" ca="1" si="222"/>
        <v>0</v>
      </c>
      <c r="R477" s="306">
        <f t="shared" ca="1" si="223"/>
        <v>0</v>
      </c>
      <c r="S477" s="307">
        <f t="shared" ca="1" si="224"/>
        <v>12.409999999999973</v>
      </c>
      <c r="T477" s="304">
        <f t="shared" ca="1" si="204"/>
        <v>121.74209999999975</v>
      </c>
      <c r="U477" s="311">
        <f t="shared" ca="1" si="205"/>
        <v>0</v>
      </c>
      <c r="V477" s="306">
        <f t="shared" ca="1" si="206"/>
        <v>1.1531312354329255</v>
      </c>
      <c r="W477" s="304">
        <f t="shared" ca="1" si="207"/>
        <v>120.20368478432162</v>
      </c>
      <c r="Y477" s="314" t="str">
        <f t="shared" ca="1" si="225"/>
        <v/>
      </c>
      <c r="Z477" s="315" t="str">
        <f t="shared" ca="1" si="226"/>
        <v/>
      </c>
      <c r="AA477" s="316" t="str">
        <f t="shared" ca="1" si="227"/>
        <v/>
      </c>
      <c r="AC477" s="310" t="e">
        <f t="shared" ca="1" si="228"/>
        <v>#N/A</v>
      </c>
      <c r="AD477" s="323" t="e">
        <f t="shared" ca="1" si="229"/>
        <v>#N/A</v>
      </c>
      <c r="AE477" s="324">
        <f t="shared" ca="1" si="208"/>
        <v>604.41378083990742</v>
      </c>
      <c r="AG477" s="306">
        <f t="shared" ca="1" si="230"/>
        <v>-19.17923161264104</v>
      </c>
      <c r="AH477" s="304">
        <f t="shared" ca="1" si="231"/>
        <v>-9.7054364856216182</v>
      </c>
    </row>
    <row r="478" spans="1:34" x14ac:dyDescent="0.25">
      <c r="A478" s="347">
        <f t="shared" ca="1" si="209"/>
        <v>0.01</v>
      </c>
      <c r="B478" s="304">
        <f t="shared" ca="1" si="210"/>
        <v>4.7399999999999434</v>
      </c>
      <c r="D478" s="306">
        <f t="shared" ca="1" si="211"/>
        <v>-2.5151724814149063</v>
      </c>
      <c r="E478" s="307">
        <f t="shared" ca="1" si="212"/>
        <v>-19.163778192681768</v>
      </c>
      <c r="F478" s="304">
        <f t="shared" ca="1" si="213"/>
        <v>19.328126842236216</v>
      </c>
      <c r="G478" s="306">
        <f t="shared" ca="1" si="214"/>
        <v>55.455457877342695</v>
      </c>
      <c r="H478" s="307">
        <f t="shared" ca="1" si="215"/>
        <v>206.13747882856063</v>
      </c>
      <c r="I478" s="304">
        <f t="shared" ca="1" si="216"/>
        <v>213.46655004047125</v>
      </c>
      <c r="J478" s="306">
        <f t="shared" ca="1" si="217"/>
        <v>148.42302309288118</v>
      </c>
      <c r="K478" s="307">
        <f t="shared" ca="1" si="218"/>
        <v>606.47611381710271</v>
      </c>
      <c r="L478" s="304">
        <f t="shared" ca="1" si="203"/>
        <v>624.37382265332462</v>
      </c>
      <c r="M478" s="306">
        <f t="shared" ca="1" si="219"/>
        <v>1.3079965313077861</v>
      </c>
      <c r="N478" s="304">
        <f t="shared" ca="1" si="220"/>
        <v>74.942680861687393</v>
      </c>
      <c r="P478" s="310">
        <f t="shared" ca="1" si="221"/>
        <v>23</v>
      </c>
      <c r="Q478" s="304">
        <f t="shared" ca="1" si="222"/>
        <v>0</v>
      </c>
      <c r="R478" s="306">
        <f t="shared" ca="1" si="223"/>
        <v>0</v>
      </c>
      <c r="S478" s="307">
        <f t="shared" ca="1" si="224"/>
        <v>12.409999999999973</v>
      </c>
      <c r="T478" s="304">
        <f t="shared" ca="1" si="204"/>
        <v>121.74209999999975</v>
      </c>
      <c r="U478" s="311">
        <f t="shared" ca="1" si="205"/>
        <v>0</v>
      </c>
      <c r="V478" s="306">
        <f t="shared" ca="1" si="206"/>
        <v>1.1528932278063986</v>
      </c>
      <c r="W478" s="304">
        <f t="shared" ca="1" si="207"/>
        <v>119.96343515840162</v>
      </c>
      <c r="Y478" s="314" t="str">
        <f t="shared" ca="1" si="225"/>
        <v/>
      </c>
      <c r="Z478" s="315" t="str">
        <f t="shared" ca="1" si="226"/>
        <v/>
      </c>
      <c r="AA478" s="316" t="str">
        <f t="shared" ca="1" si="227"/>
        <v/>
      </c>
      <c r="AC478" s="310" t="e">
        <f t="shared" ca="1" si="228"/>
        <v>#N/A</v>
      </c>
      <c r="AD478" s="323" t="e">
        <f t="shared" ca="1" si="229"/>
        <v>#N/A</v>
      </c>
      <c r="AE478" s="324">
        <f t="shared" ca="1" si="208"/>
        <v>606.47611381710271</v>
      </c>
      <c r="AG478" s="306">
        <f t="shared" ca="1" si="230"/>
        <v>-19.159525845983815</v>
      </c>
      <c r="AH478" s="304">
        <f t="shared" ca="1" si="231"/>
        <v>-9.6860342291959611</v>
      </c>
    </row>
    <row r="479" spans="1:34" x14ac:dyDescent="0.25">
      <c r="A479" s="347">
        <f t="shared" ca="1" si="209"/>
        <v>0.01</v>
      </c>
      <c r="B479" s="304">
        <f t="shared" ca="1" si="210"/>
        <v>4.7499999999999432</v>
      </c>
      <c r="D479" s="306">
        <f t="shared" ca="1" si="211"/>
        <v>-2.5112594036985918</v>
      </c>
      <c r="E479" s="307">
        <f t="shared" ca="1" si="212"/>
        <v>-19.144783301364523</v>
      </c>
      <c r="F479" s="304">
        <f t="shared" ca="1" si="213"/>
        <v>19.308784307896509</v>
      </c>
      <c r="G479" s="306">
        <f t="shared" ca="1" si="214"/>
        <v>55.430345283305712</v>
      </c>
      <c r="H479" s="307">
        <f t="shared" ca="1" si="215"/>
        <v>205.94603099554698</v>
      </c>
      <c r="I479" s="304">
        <f t="shared" ca="1" si="216"/>
        <v>213.27515293874552</v>
      </c>
      <c r="J479" s="306">
        <f t="shared" ca="1" si="217"/>
        <v>148.97745210868442</v>
      </c>
      <c r="K479" s="307">
        <f t="shared" ca="1" si="218"/>
        <v>608.53653136622324</v>
      </c>
      <c r="L479" s="304">
        <f t="shared" ca="1" si="203"/>
        <v>626.5069762133777</v>
      </c>
      <c r="M479" s="306">
        <f t="shared" ca="1" si="219"/>
        <v>1.3078770381025637</v>
      </c>
      <c r="N479" s="304">
        <f t="shared" ca="1" si="220"/>
        <v>74.935834405347663</v>
      </c>
      <c r="P479" s="310">
        <f t="shared" ca="1" si="221"/>
        <v>23</v>
      </c>
      <c r="Q479" s="304">
        <f t="shared" ca="1" si="222"/>
        <v>0</v>
      </c>
      <c r="R479" s="306">
        <f t="shared" ca="1" si="223"/>
        <v>0</v>
      </c>
      <c r="S479" s="307">
        <f t="shared" ca="1" si="224"/>
        <v>12.409999999999973</v>
      </c>
      <c r="T479" s="304">
        <f t="shared" ca="1" si="204"/>
        <v>121.74209999999975</v>
      </c>
      <c r="U479" s="311">
        <f t="shared" ca="1" si="205"/>
        <v>0</v>
      </c>
      <c r="V479" s="306">
        <f t="shared" ca="1" si="206"/>
        <v>1.1526554888029983</v>
      </c>
      <c r="W479" s="304">
        <f t="shared" ca="1" si="207"/>
        <v>119.72371639101131</v>
      </c>
      <c r="Y479" s="314" t="str">
        <f t="shared" ca="1" si="225"/>
        <v/>
      </c>
      <c r="Z479" s="315" t="str">
        <f t="shared" ca="1" si="226"/>
        <v/>
      </c>
      <c r="AA479" s="316" t="str">
        <f t="shared" ca="1" si="227"/>
        <v/>
      </c>
      <c r="AC479" s="310" t="e">
        <f t="shared" ca="1" si="228"/>
        <v>#N/A</v>
      </c>
      <c r="AD479" s="323" t="e">
        <f t="shared" ca="1" si="229"/>
        <v>#N/A</v>
      </c>
      <c r="AE479" s="324">
        <f t="shared" ca="1" si="208"/>
        <v>608.53653136622324</v>
      </c>
      <c r="AG479" s="306">
        <f t="shared" ca="1" si="230"/>
        <v>-19.139862436380241</v>
      </c>
      <c r="AH479" s="304">
        <f t="shared" ca="1" si="231"/>
        <v>-9.6666748717487412</v>
      </c>
    </row>
    <row r="480" spans="1:34" x14ac:dyDescent="0.25">
      <c r="A480" s="347">
        <f t="shared" ca="1" si="209"/>
        <v>0.01</v>
      </c>
      <c r="B480" s="304">
        <f t="shared" ca="1" si="210"/>
        <v>4.7599999999999429</v>
      </c>
      <c r="D480" s="306">
        <f t="shared" ca="1" si="211"/>
        <v>-2.507354437552066</v>
      </c>
      <c r="E480" s="307">
        <f t="shared" ca="1" si="212"/>
        <v>-19.125830382684647</v>
      </c>
      <c r="F480" s="304">
        <f t="shared" ca="1" si="213"/>
        <v>19.289484547357276</v>
      </c>
      <c r="G480" s="306">
        <f t="shared" ca="1" si="214"/>
        <v>55.405271738930189</v>
      </c>
      <c r="H480" s="307">
        <f t="shared" ca="1" si="215"/>
        <v>205.75477269172012</v>
      </c>
      <c r="I480" s="304">
        <f t="shared" ca="1" si="216"/>
        <v>213.08395205150038</v>
      </c>
      <c r="J480" s="306">
        <f t="shared" ca="1" si="217"/>
        <v>149.53163019379559</v>
      </c>
      <c r="K480" s="307">
        <f t="shared" ca="1" si="218"/>
        <v>610.59503538465958</v>
      </c>
      <c r="L480" s="304">
        <f t="shared" ca="1" si="203"/>
        <v>628.63821524371849</v>
      </c>
      <c r="M480" s="306">
        <f t="shared" ca="1" si="219"/>
        <v>1.3077573845528376</v>
      </c>
      <c r="N480" s="304">
        <f t="shared" ca="1" si="220"/>
        <v>74.928978761944592</v>
      </c>
      <c r="P480" s="310">
        <f t="shared" ca="1" si="221"/>
        <v>23</v>
      </c>
      <c r="Q480" s="304">
        <f t="shared" ca="1" si="222"/>
        <v>0</v>
      </c>
      <c r="R480" s="306">
        <f t="shared" ca="1" si="223"/>
        <v>0</v>
      </c>
      <c r="S480" s="307">
        <f t="shared" ca="1" si="224"/>
        <v>12.409999999999973</v>
      </c>
      <c r="T480" s="304">
        <f t="shared" ca="1" si="204"/>
        <v>121.74209999999975</v>
      </c>
      <c r="U480" s="311">
        <f t="shared" ca="1" si="205"/>
        <v>0</v>
      </c>
      <c r="V480" s="306">
        <f t="shared" ca="1" si="206"/>
        <v>1.1524180180570176</v>
      </c>
      <c r="W480" s="304">
        <f t="shared" ca="1" si="207"/>
        <v>119.48452696988802</v>
      </c>
      <c r="Y480" s="314" t="str">
        <f t="shared" ca="1" si="225"/>
        <v/>
      </c>
      <c r="Z480" s="315" t="str">
        <f t="shared" ca="1" si="226"/>
        <v/>
      </c>
      <c r="AA480" s="316" t="str">
        <f t="shared" ca="1" si="227"/>
        <v/>
      </c>
      <c r="AC480" s="310" t="e">
        <f t="shared" ca="1" si="228"/>
        <v>#N/A</v>
      </c>
      <c r="AD480" s="323" t="e">
        <f t="shared" ca="1" si="229"/>
        <v>#N/A</v>
      </c>
      <c r="AE480" s="324">
        <f t="shared" ca="1" si="208"/>
        <v>610.59503538465958</v>
      </c>
      <c r="AG480" s="306">
        <f t="shared" ca="1" si="230"/>
        <v>-19.120241260360448</v>
      </c>
      <c r="AH480" s="304">
        <f t="shared" ca="1" si="231"/>
        <v>-9.6473582909759514</v>
      </c>
    </row>
    <row r="481" spans="1:34" x14ac:dyDescent="0.25">
      <c r="A481" s="347">
        <f t="shared" ca="1" si="209"/>
        <v>0.01</v>
      </c>
      <c r="B481" s="304">
        <f t="shared" ca="1" si="210"/>
        <v>4.7699999999999427</v>
      </c>
      <c r="D481" s="306">
        <f t="shared" ca="1" si="211"/>
        <v>-2.5034575594895339</v>
      </c>
      <c r="E481" s="307">
        <f t="shared" ca="1" si="212"/>
        <v>-19.106919317051315</v>
      </c>
      <c r="F481" s="304">
        <f t="shared" ca="1" si="213"/>
        <v>19.27022743873237</v>
      </c>
      <c r="G481" s="306">
        <f t="shared" ca="1" si="214"/>
        <v>55.380237163335295</v>
      </c>
      <c r="H481" s="307">
        <f t="shared" ca="1" si="215"/>
        <v>205.56370349854961</v>
      </c>
      <c r="I481" s="304">
        <f t="shared" ca="1" si="216"/>
        <v>212.89294695763616</v>
      </c>
      <c r="J481" s="306">
        <f t="shared" ca="1" si="217"/>
        <v>150.08555773830693</v>
      </c>
      <c r="K481" s="307">
        <f t="shared" ca="1" si="218"/>
        <v>612.6516277656109</v>
      </c>
      <c r="L481" s="304">
        <f t="shared" ca="1" si="203"/>
        <v>630.76754168669083</v>
      </c>
      <c r="M481" s="306">
        <f t="shared" ca="1" si="219"/>
        <v>1.3076375704111505</v>
      </c>
      <c r="N481" s="304">
        <f t="shared" ca="1" si="220"/>
        <v>74.922113917299939</v>
      </c>
      <c r="P481" s="310">
        <f t="shared" ca="1" si="221"/>
        <v>23</v>
      </c>
      <c r="Q481" s="304">
        <f t="shared" ca="1" si="222"/>
        <v>0</v>
      </c>
      <c r="R481" s="306">
        <f t="shared" ca="1" si="223"/>
        <v>0</v>
      </c>
      <c r="S481" s="307">
        <f t="shared" ca="1" si="224"/>
        <v>12.409999999999973</v>
      </c>
      <c r="T481" s="304">
        <f t="shared" ca="1" si="204"/>
        <v>121.74209999999975</v>
      </c>
      <c r="U481" s="311">
        <f t="shared" ca="1" si="205"/>
        <v>0</v>
      </c>
      <c r="V481" s="306">
        <f t="shared" ca="1" si="206"/>
        <v>1.1521808152036161</v>
      </c>
      <c r="W481" s="304">
        <f t="shared" ca="1" si="207"/>
        <v>119.24586538827525</v>
      </c>
      <c r="Y481" s="314" t="str">
        <f t="shared" ca="1" si="225"/>
        <v/>
      </c>
      <c r="Z481" s="315" t="str">
        <f t="shared" ca="1" si="226"/>
        <v/>
      </c>
      <c r="AA481" s="316" t="str">
        <f t="shared" ca="1" si="227"/>
        <v/>
      </c>
      <c r="AC481" s="310" t="e">
        <f t="shared" ca="1" si="228"/>
        <v>#N/A</v>
      </c>
      <c r="AD481" s="323" t="e">
        <f t="shared" ca="1" si="229"/>
        <v>#N/A</v>
      </c>
      <c r="AE481" s="324">
        <f t="shared" ca="1" si="208"/>
        <v>612.6516277656109</v>
      </c>
      <c r="AG481" s="306">
        <f t="shared" ca="1" si="230"/>
        <v>-19.100662194896941</v>
      </c>
      <c r="AH481" s="304">
        <f t="shared" ca="1" si="231"/>
        <v>-9.6280843650192001</v>
      </c>
    </row>
    <row r="482" spans="1:34" x14ac:dyDescent="0.25">
      <c r="A482" s="347">
        <f t="shared" ca="1" si="209"/>
        <v>0.01</v>
      </c>
      <c r="B482" s="304">
        <f t="shared" ca="1" si="210"/>
        <v>4.7799999999999425</v>
      </c>
      <c r="D482" s="306">
        <f t="shared" ca="1" si="211"/>
        <v>-2.4995687461104787</v>
      </c>
      <c r="E482" s="307">
        <f t="shared" ca="1" si="212"/>
        <v>-19.088049985309077</v>
      </c>
      <c r="F482" s="304">
        <f t="shared" ca="1" si="213"/>
        <v>19.251012860579316</v>
      </c>
      <c r="G482" s="306">
        <f t="shared" ca="1" si="214"/>
        <v>55.355241475874188</v>
      </c>
      <c r="H482" s="307">
        <f t="shared" ca="1" si="215"/>
        <v>205.37282299869653</v>
      </c>
      <c r="I482" s="304">
        <f t="shared" ca="1" si="216"/>
        <v>212.70213723727903</v>
      </c>
      <c r="J482" s="306">
        <f t="shared" ca="1" si="217"/>
        <v>150.63923513150297</v>
      </c>
      <c r="K482" s="307">
        <f t="shared" ca="1" si="218"/>
        <v>614.70631039809712</v>
      </c>
      <c r="L482" s="304">
        <f t="shared" ca="1" si="203"/>
        <v>632.8949574805016</v>
      </c>
      <c r="M482" s="306">
        <f t="shared" ca="1" si="219"/>
        <v>1.307517595429482</v>
      </c>
      <c r="N482" s="304">
        <f t="shared" ca="1" si="220"/>
        <v>74.915239857203176</v>
      </c>
      <c r="P482" s="310">
        <f t="shared" ca="1" si="221"/>
        <v>23</v>
      </c>
      <c r="Q482" s="304">
        <f t="shared" ca="1" si="222"/>
        <v>0</v>
      </c>
      <c r="R482" s="306">
        <f t="shared" ca="1" si="223"/>
        <v>0</v>
      </c>
      <c r="S482" s="307">
        <f t="shared" ca="1" si="224"/>
        <v>12.409999999999973</v>
      </c>
      <c r="T482" s="304">
        <f t="shared" ca="1" si="204"/>
        <v>121.74209999999975</v>
      </c>
      <c r="U482" s="311">
        <f t="shared" ca="1" si="205"/>
        <v>0</v>
      </c>
      <c r="V482" s="306">
        <f t="shared" ca="1" si="206"/>
        <v>1.1519438798788175</v>
      </c>
      <c r="W482" s="304">
        <f t="shared" ca="1" si="207"/>
        <v>119.0077301448984</v>
      </c>
      <c r="Y482" s="314" t="str">
        <f t="shared" ca="1" si="225"/>
        <v/>
      </c>
      <c r="Z482" s="315" t="str">
        <f t="shared" ca="1" si="226"/>
        <v/>
      </c>
      <c r="AA482" s="316" t="str">
        <f t="shared" ca="1" si="227"/>
        <v/>
      </c>
      <c r="AC482" s="310" t="e">
        <f t="shared" ca="1" si="228"/>
        <v>#N/A</v>
      </c>
      <c r="AD482" s="323" t="e">
        <f t="shared" ca="1" si="229"/>
        <v>#N/A</v>
      </c>
      <c r="AE482" s="324">
        <f t="shared" ca="1" si="208"/>
        <v>614.70631039809712</v>
      </c>
      <c r="AG482" s="306">
        <f t="shared" ca="1" si="230"/>
        <v>-19.081125117402678</v>
      </c>
      <c r="AH482" s="304">
        <f t="shared" ca="1" si="231"/>
        <v>-9.6088529724637795</v>
      </c>
    </row>
    <row r="483" spans="1:34" x14ac:dyDescent="0.25">
      <c r="A483" s="347">
        <f t="shared" ca="1" si="209"/>
        <v>0.01</v>
      </c>
      <c r="B483" s="304">
        <f t="shared" ca="1" si="210"/>
        <v>4.7899999999999423</v>
      </c>
      <c r="D483" s="306">
        <f t="shared" ca="1" si="211"/>
        <v>-2.4956879740992925</v>
      </c>
      <c r="E483" s="307">
        <f t="shared" ca="1" si="212"/>
        <v>-19.069222268735942</v>
      </c>
      <c r="F483" s="304">
        <f t="shared" ca="1" si="213"/>
        <v>19.231840691897343</v>
      </c>
      <c r="G483" s="306">
        <f t="shared" ca="1" si="214"/>
        <v>55.330284596133197</v>
      </c>
      <c r="H483" s="307">
        <f t="shared" ca="1" si="215"/>
        <v>205.18213077600919</v>
      </c>
      <c r="I483" s="304">
        <f t="shared" ca="1" si="216"/>
        <v>212.51152247177666</v>
      </c>
      <c r="J483" s="306">
        <f t="shared" ca="1" si="217"/>
        <v>151.19266276186301</v>
      </c>
      <c r="K483" s="307">
        <f t="shared" ca="1" si="218"/>
        <v>616.75908516697064</v>
      </c>
      <c r="L483" s="304">
        <f t="shared" ca="1" si="203"/>
        <v>635.0204645592305</v>
      </c>
      <c r="M483" s="306">
        <f t="shared" ca="1" si="219"/>
        <v>1.3073974593592481</v>
      </c>
      <c r="N483" s="304">
        <f t="shared" ca="1" si="220"/>
        <v>74.908356567411488</v>
      </c>
      <c r="P483" s="310">
        <f t="shared" ca="1" si="221"/>
        <v>23</v>
      </c>
      <c r="Q483" s="304">
        <f t="shared" ca="1" si="222"/>
        <v>0</v>
      </c>
      <c r="R483" s="306">
        <f t="shared" ca="1" si="223"/>
        <v>0</v>
      </c>
      <c r="S483" s="307">
        <f t="shared" ca="1" si="224"/>
        <v>12.409999999999973</v>
      </c>
      <c r="T483" s="304">
        <f t="shared" ca="1" si="204"/>
        <v>121.74209999999975</v>
      </c>
      <c r="U483" s="311">
        <f t="shared" ca="1" si="205"/>
        <v>0</v>
      </c>
      <c r="V483" s="306">
        <f t="shared" ca="1" si="206"/>
        <v>1.1517072117195069</v>
      </c>
      <c r="W483" s="304">
        <f t="shared" ca="1" si="207"/>
        <v>118.77011974394075</v>
      </c>
      <c r="Y483" s="314" t="str">
        <f t="shared" ca="1" si="225"/>
        <v/>
      </c>
      <c r="Z483" s="315" t="str">
        <f t="shared" ca="1" si="226"/>
        <v/>
      </c>
      <c r="AA483" s="316" t="str">
        <f t="shared" ca="1" si="227"/>
        <v/>
      </c>
      <c r="AC483" s="310" t="e">
        <f t="shared" ca="1" si="228"/>
        <v>#N/A</v>
      </c>
      <c r="AD483" s="323" t="e">
        <f t="shared" ca="1" si="229"/>
        <v>#N/A</v>
      </c>
      <c r="AE483" s="324">
        <f t="shared" ca="1" si="208"/>
        <v>616.75908516697064</v>
      </c>
      <c r="AG483" s="306">
        <f t="shared" ca="1" si="230"/>
        <v>-19.061629905729092</v>
      </c>
      <c r="AH483" s="304">
        <f t="shared" ca="1" si="231"/>
        <v>-9.5896639923367175</v>
      </c>
    </row>
    <row r="484" spans="1:34" x14ac:dyDescent="0.25">
      <c r="A484" s="347">
        <f t="shared" ca="1" si="209"/>
        <v>0.01</v>
      </c>
      <c r="B484" s="304">
        <f t="shared" ca="1" si="210"/>
        <v>4.7999999999999421</v>
      </c>
      <c r="D484" s="306">
        <f t="shared" ca="1" si="211"/>
        <v>-2.4918152202248947</v>
      </c>
      <c r="E484" s="307">
        <f t="shared" ca="1" si="212"/>
        <v>-19.050436049041501</v>
      </c>
      <c r="F484" s="304">
        <f t="shared" ca="1" si="213"/>
        <v>19.212710812125508</v>
      </c>
      <c r="G484" s="306">
        <f t="shared" ca="1" si="214"/>
        <v>55.30536644393095</v>
      </c>
      <c r="H484" s="307">
        <f t="shared" ca="1" si="215"/>
        <v>204.99162641551877</v>
      </c>
      <c r="I484" s="304">
        <f t="shared" ca="1" si="216"/>
        <v>212.32110224369384</v>
      </c>
      <c r="J484" s="306">
        <f t="shared" ca="1" si="217"/>
        <v>151.74584101706333</v>
      </c>
      <c r="K484" s="307">
        <f t="shared" ca="1" si="218"/>
        <v>618.80995395292825</v>
      </c>
      <c r="L484" s="304">
        <f t="shared" ca="1" si="203"/>
        <v>637.14406485284087</v>
      </c>
      <c r="M484" s="306">
        <f t="shared" ca="1" si="219"/>
        <v>1.3072771619512993</v>
      </c>
      <c r="N484" s="304">
        <f t="shared" ca="1" si="220"/>
        <v>74.90146403364966</v>
      </c>
      <c r="P484" s="310">
        <f t="shared" ca="1" si="221"/>
        <v>23</v>
      </c>
      <c r="Q484" s="304">
        <f t="shared" ca="1" si="222"/>
        <v>0</v>
      </c>
      <c r="R484" s="306">
        <f t="shared" ca="1" si="223"/>
        <v>0</v>
      </c>
      <c r="S484" s="307">
        <f t="shared" ca="1" si="224"/>
        <v>12.409999999999973</v>
      </c>
      <c r="T484" s="304">
        <f t="shared" ca="1" si="204"/>
        <v>121.74209999999975</v>
      </c>
      <c r="U484" s="311">
        <f t="shared" ca="1" si="205"/>
        <v>0</v>
      </c>
      <c r="V484" s="306">
        <f t="shared" ca="1" si="206"/>
        <v>1.1514708103634266</v>
      </c>
      <c r="W484" s="304">
        <f t="shared" ca="1" si="207"/>
        <v>118.5330326950196</v>
      </c>
      <c r="Y484" s="314" t="str">
        <f t="shared" ca="1" si="225"/>
        <v/>
      </c>
      <c r="Z484" s="315" t="str">
        <f t="shared" ca="1" si="226"/>
        <v/>
      </c>
      <c r="AA484" s="316" t="str">
        <f t="shared" ca="1" si="227"/>
        <v/>
      </c>
      <c r="AC484" s="310" t="e">
        <f t="shared" ca="1" si="228"/>
        <v>#N/A</v>
      </c>
      <c r="AD484" s="323" t="e">
        <f t="shared" ca="1" si="229"/>
        <v>#N/A</v>
      </c>
      <c r="AE484" s="324">
        <f t="shared" ca="1" si="208"/>
        <v>618.80995395292825</v>
      </c>
      <c r="AG484" s="306">
        <f t="shared" ca="1" si="230"/>
        <v>-19.042176438164134</v>
      </c>
      <c r="AH484" s="304">
        <f t="shared" ca="1" si="231"/>
        <v>-9.5705173041048361</v>
      </c>
    </row>
    <row r="485" spans="1:34" x14ac:dyDescent="0.25">
      <c r="A485" s="347">
        <f t="shared" ca="1" si="209"/>
        <v>0.01</v>
      </c>
      <c r="B485" s="304">
        <f t="shared" ca="1" si="210"/>
        <v>4.8099999999999419</v>
      </c>
      <c r="D485" s="306">
        <f t="shared" ca="1" si="211"/>
        <v>-2.4879504613403705</v>
      </c>
      <c r="E485" s="307">
        <f t="shared" ca="1" si="212"/>
        <v>-19.031691208365</v>
      </c>
      <c r="F485" s="304">
        <f t="shared" ca="1" si="213"/>
        <v>19.193623101140687</v>
      </c>
      <c r="G485" s="306">
        <f t="shared" ca="1" si="214"/>
        <v>55.280486939317548</v>
      </c>
      <c r="H485" s="307">
        <f t="shared" ca="1" si="215"/>
        <v>204.80130950343511</v>
      </c>
      <c r="I485" s="304">
        <f t="shared" ca="1" si="216"/>
        <v>212.13087613680824</v>
      </c>
      <c r="J485" s="306">
        <f t="shared" ca="1" si="217"/>
        <v>152.29877028397956</v>
      </c>
      <c r="K485" s="307">
        <f t="shared" ca="1" si="218"/>
        <v>620.858918632523</v>
      </c>
      <c r="L485" s="304">
        <f t="shared" ca="1" si="203"/>
        <v>639.26576028718932</v>
      </c>
      <c r="M485" s="306">
        <f t="shared" ca="1" si="219"/>
        <v>1.3071567029559192</v>
      </c>
      <c r="N485" s="304">
        <f t="shared" ca="1" si="220"/>
        <v>74.894562241609989</v>
      </c>
      <c r="P485" s="310">
        <f t="shared" ca="1" si="221"/>
        <v>23</v>
      </c>
      <c r="Q485" s="304">
        <f t="shared" ca="1" si="222"/>
        <v>0</v>
      </c>
      <c r="R485" s="306">
        <f t="shared" ca="1" si="223"/>
        <v>0</v>
      </c>
      <c r="S485" s="307">
        <f t="shared" ca="1" si="224"/>
        <v>12.409999999999973</v>
      </c>
      <c r="T485" s="304">
        <f t="shared" ca="1" si="204"/>
        <v>121.74209999999975</v>
      </c>
      <c r="U485" s="311">
        <f t="shared" ca="1" si="205"/>
        <v>0</v>
      </c>
      <c r="V485" s="306">
        <f t="shared" ca="1" si="206"/>
        <v>1.151234675449176</v>
      </c>
      <c r="W485" s="304">
        <f t="shared" ca="1" si="207"/>
        <v>118.29646751316267</v>
      </c>
      <c r="Y485" s="314" t="str">
        <f t="shared" ca="1" si="225"/>
        <v/>
      </c>
      <c r="Z485" s="315" t="str">
        <f t="shared" ca="1" si="226"/>
        <v/>
      </c>
      <c r="AA485" s="316" t="str">
        <f t="shared" ca="1" si="227"/>
        <v/>
      </c>
      <c r="AC485" s="310" t="e">
        <f t="shared" ca="1" si="228"/>
        <v>#N/A</v>
      </c>
      <c r="AD485" s="323" t="e">
        <f t="shared" ca="1" si="229"/>
        <v>#N/A</v>
      </c>
      <c r="AE485" s="324">
        <f t="shared" ca="1" si="208"/>
        <v>620.858918632523</v>
      </c>
      <c r="AG485" s="306">
        <f t="shared" ca="1" si="230"/>
        <v>-19.022764593430367</v>
      </c>
      <c r="AH485" s="304">
        <f t="shared" ca="1" si="231"/>
        <v>-9.5514127876728327</v>
      </c>
    </row>
    <row r="486" spans="1:34" x14ac:dyDescent="0.25">
      <c r="A486" s="347">
        <f t="shared" ca="1" si="209"/>
        <v>0.01</v>
      </c>
      <c r="B486" s="304">
        <f t="shared" ca="1" si="210"/>
        <v>4.8199999999999417</v>
      </c>
      <c r="D486" s="306">
        <f t="shared" ca="1" si="211"/>
        <v>-2.4840936743825988</v>
      </c>
      <c r="E486" s="307">
        <f t="shared" ca="1" si="212"/>
        <v>-19.012987629273521</v>
      </c>
      <c r="F486" s="304">
        <f t="shared" ca="1" si="213"/>
        <v>19.174577439255749</v>
      </c>
      <c r="G486" s="306">
        <f t="shared" ca="1" si="214"/>
        <v>55.255646002573719</v>
      </c>
      <c r="H486" s="307">
        <f t="shared" ca="1" si="215"/>
        <v>204.61117962714238</v>
      </c>
      <c r="I486" s="304">
        <f t="shared" ca="1" si="216"/>
        <v>211.9408437361059</v>
      </c>
      <c r="J486" s="306">
        <f t="shared" ca="1" si="217"/>
        <v>152.85145094868903</v>
      </c>
      <c r="K486" s="307">
        <f t="shared" ca="1" si="218"/>
        <v>622.90598107817584</v>
      </c>
      <c r="L486" s="304">
        <f t="shared" ca="1" si="203"/>
        <v>641.38555278403669</v>
      </c>
      <c r="M486" s="306">
        <f t="shared" ca="1" si="219"/>
        <v>1.3070360821228233</v>
      </c>
      <c r="N486" s="304">
        <f t="shared" ca="1" si="220"/>
        <v>74.887651176952247</v>
      </c>
      <c r="P486" s="310">
        <f t="shared" ca="1" si="221"/>
        <v>23</v>
      </c>
      <c r="Q486" s="304">
        <f t="shared" ca="1" si="222"/>
        <v>0</v>
      </c>
      <c r="R486" s="306">
        <f t="shared" ca="1" si="223"/>
        <v>0</v>
      </c>
      <c r="S486" s="307">
        <f t="shared" ca="1" si="224"/>
        <v>12.409999999999973</v>
      </c>
      <c r="T486" s="304">
        <f t="shared" ca="1" si="204"/>
        <v>121.74209999999975</v>
      </c>
      <c r="U486" s="311">
        <f t="shared" ca="1" si="205"/>
        <v>0</v>
      </c>
      <c r="V486" s="306">
        <f t="shared" ca="1" si="206"/>
        <v>1.1509988066162078</v>
      </c>
      <c r="W486" s="304">
        <f t="shared" ca="1" si="207"/>
        <v>118.06042271878427</v>
      </c>
      <c r="Y486" s="314" t="str">
        <f t="shared" ca="1" si="225"/>
        <v/>
      </c>
      <c r="Z486" s="315" t="str">
        <f t="shared" ca="1" si="226"/>
        <v/>
      </c>
      <c r="AA486" s="316" t="str">
        <f t="shared" ca="1" si="227"/>
        <v/>
      </c>
      <c r="AC486" s="310" t="e">
        <f t="shared" ca="1" si="228"/>
        <v>#N/A</v>
      </c>
      <c r="AD486" s="323" t="e">
        <f t="shared" ca="1" si="229"/>
        <v>#N/A</v>
      </c>
      <c r="AE486" s="324">
        <f t="shared" ca="1" si="208"/>
        <v>622.90598107817584</v>
      </c>
      <c r="AG486" s="306">
        <f t="shared" ca="1" si="230"/>
        <v>-19.003394250683044</v>
      </c>
      <c r="AH486" s="304">
        <f t="shared" ca="1" si="231"/>
        <v>-9.5323503233813796</v>
      </c>
    </row>
    <row r="487" spans="1:34" x14ac:dyDescent="0.25">
      <c r="A487" s="347">
        <f t="shared" ca="1" si="209"/>
        <v>0.01</v>
      </c>
      <c r="B487" s="304">
        <f t="shared" ca="1" si="210"/>
        <v>4.8299999999999415</v>
      </c>
      <c r="D487" s="306">
        <f t="shared" ca="1" si="211"/>
        <v>-2.4802448363718863</v>
      </c>
      <c r="E487" s="307">
        <f t="shared" ca="1" si="212"/>
        <v>-18.994325194760052</v>
      </c>
      <c r="F487" s="304">
        <f t="shared" ca="1" si="213"/>
        <v>19.155573707217592</v>
      </c>
      <c r="G487" s="306">
        <f t="shared" ca="1" si="214"/>
        <v>55.230843554209997</v>
      </c>
      <c r="H487" s="307">
        <f t="shared" ca="1" si="215"/>
        <v>204.42123637519478</v>
      </c>
      <c r="I487" s="304">
        <f t="shared" ca="1" si="216"/>
        <v>211.75100462777709</v>
      </c>
      <c r="J487" s="306">
        <f t="shared" ca="1" si="217"/>
        <v>153.40388339647296</v>
      </c>
      <c r="K487" s="307">
        <f t="shared" ca="1" si="218"/>
        <v>624.95114315818751</v>
      </c>
      <c r="L487" s="304">
        <f t="shared" ca="1" si="203"/>
        <v>643.50344426105755</v>
      </c>
      <c r="M487" s="306">
        <f t="shared" ca="1" si="219"/>
        <v>1.3069152992011566</v>
      </c>
      <c r="N487" s="304">
        <f t="shared" ca="1" si="220"/>
        <v>74.880730825303488</v>
      </c>
      <c r="P487" s="310">
        <f t="shared" ca="1" si="221"/>
        <v>23</v>
      </c>
      <c r="Q487" s="304">
        <f t="shared" ca="1" si="222"/>
        <v>0</v>
      </c>
      <c r="R487" s="306">
        <f t="shared" ca="1" si="223"/>
        <v>0</v>
      </c>
      <c r="S487" s="307">
        <f t="shared" ca="1" si="224"/>
        <v>12.409999999999973</v>
      </c>
      <c r="T487" s="304">
        <f t="shared" ca="1" si="204"/>
        <v>121.74209999999975</v>
      </c>
      <c r="U487" s="311">
        <f t="shared" ca="1" si="205"/>
        <v>0</v>
      </c>
      <c r="V487" s="306">
        <f t="shared" ca="1" si="206"/>
        <v>1.150763203504825</v>
      </c>
      <c r="W487" s="304">
        <f t="shared" ca="1" si="207"/>
        <v>117.82489683766195</v>
      </c>
      <c r="Y487" s="314" t="str">
        <f t="shared" ca="1" si="225"/>
        <v/>
      </c>
      <c r="Z487" s="315" t="str">
        <f t="shared" ca="1" si="226"/>
        <v/>
      </c>
      <c r="AA487" s="316" t="str">
        <f t="shared" ca="1" si="227"/>
        <v/>
      </c>
      <c r="AC487" s="310" t="e">
        <f t="shared" ca="1" si="228"/>
        <v>#N/A</v>
      </c>
      <c r="AD487" s="323" t="e">
        <f t="shared" ca="1" si="229"/>
        <v>#N/A</v>
      </c>
      <c r="AE487" s="324">
        <f t="shared" ca="1" si="208"/>
        <v>624.95114315818751</v>
      </c>
      <c r="AG487" s="306">
        <f t="shared" ca="1" si="230"/>
        <v>-18.984065289508166</v>
      </c>
      <c r="AH487" s="304">
        <f t="shared" ca="1" si="231"/>
        <v>-9.5133297920051998</v>
      </c>
    </row>
    <row r="488" spans="1:34" x14ac:dyDescent="0.25">
      <c r="A488" s="347">
        <f t="shared" ca="1" si="209"/>
        <v>0.01</v>
      </c>
      <c r="B488" s="304">
        <f t="shared" ca="1" si="210"/>
        <v>4.8399999999999412</v>
      </c>
      <c r="D488" s="306">
        <f t="shared" ca="1" si="211"/>
        <v>-2.4764039244116107</v>
      </c>
      <c r="E488" s="307">
        <f t="shared" ca="1" si="212"/>
        <v>-18.975703788241674</v>
      </c>
      <c r="F488" s="304">
        <f t="shared" ca="1" si="213"/>
        <v>19.136611786205275</v>
      </c>
      <c r="G488" s="306">
        <f t="shared" ca="1" si="214"/>
        <v>55.206079514965879</v>
      </c>
      <c r="H488" s="307">
        <f t="shared" ca="1" si="215"/>
        <v>204.23147933731235</v>
      </c>
      <c r="I488" s="304">
        <f t="shared" ca="1" si="216"/>
        <v>211.56135839921188</v>
      </c>
      <c r="J488" s="306">
        <f t="shared" ca="1" si="217"/>
        <v>153.95606801181884</v>
      </c>
      <c r="K488" s="307">
        <f t="shared" ca="1" si="218"/>
        <v>626.99440673675008</v>
      </c>
      <c r="L488" s="304">
        <f t="shared" ca="1" si="203"/>
        <v>645.61943663185127</v>
      </c>
      <c r="M488" s="306">
        <f t="shared" ca="1" si="219"/>
        <v>1.3067943539394933</v>
      </c>
      <c r="N488" s="304">
        <f t="shared" ca="1" si="220"/>
        <v>74.873801172258069</v>
      </c>
      <c r="P488" s="310">
        <f t="shared" ca="1" si="221"/>
        <v>23</v>
      </c>
      <c r="Q488" s="304">
        <f t="shared" ca="1" si="222"/>
        <v>0</v>
      </c>
      <c r="R488" s="306">
        <f t="shared" ca="1" si="223"/>
        <v>0</v>
      </c>
      <c r="S488" s="307">
        <f t="shared" ca="1" si="224"/>
        <v>12.409999999999973</v>
      </c>
      <c r="T488" s="304">
        <f t="shared" ca="1" si="204"/>
        <v>121.74209999999975</v>
      </c>
      <c r="U488" s="311">
        <f t="shared" ca="1" si="205"/>
        <v>0</v>
      </c>
      <c r="V488" s="306">
        <f t="shared" ca="1" si="206"/>
        <v>1.1505278657561793</v>
      </c>
      <c r="W488" s="304">
        <f t="shared" ca="1" si="207"/>
        <v>117.58988840091304</v>
      </c>
      <c r="Y488" s="314" t="str">
        <f t="shared" ca="1" si="225"/>
        <v/>
      </c>
      <c r="Z488" s="315" t="str">
        <f t="shared" ca="1" si="226"/>
        <v/>
      </c>
      <c r="AA488" s="316" t="str">
        <f t="shared" ca="1" si="227"/>
        <v/>
      </c>
      <c r="AC488" s="310" t="e">
        <f t="shared" ca="1" si="228"/>
        <v>#N/A</v>
      </c>
      <c r="AD488" s="323" t="e">
        <f t="shared" ca="1" si="229"/>
        <v>#N/A</v>
      </c>
      <c r="AE488" s="324">
        <f t="shared" ca="1" si="208"/>
        <v>626.99440673675008</v>
      </c>
      <c r="AG488" s="306">
        <f t="shared" ca="1" si="230"/>
        <v>-18.964777589920594</v>
      </c>
      <c r="AH488" s="304">
        <f t="shared" ca="1" si="231"/>
        <v>-9.4943510747511848</v>
      </c>
    </row>
    <row r="489" spans="1:34" x14ac:dyDescent="0.25">
      <c r="A489" s="347">
        <f t="shared" ca="1" si="209"/>
        <v>0.01</v>
      </c>
      <c r="B489" s="304">
        <f t="shared" ca="1" si="210"/>
        <v>4.849999999999941</v>
      </c>
      <c r="D489" s="306">
        <f t="shared" ca="1" si="211"/>
        <v>-2.4725709156878466</v>
      </c>
      <c r="E489" s="307">
        <f t="shared" ca="1" si="212"/>
        <v>-18.957123293557686</v>
      </c>
      <c r="F489" s="304">
        <f t="shared" ca="1" si="213"/>
        <v>19.117691557828127</v>
      </c>
      <c r="G489" s="306">
        <f t="shared" ca="1" si="214"/>
        <v>55.181353805809003</v>
      </c>
      <c r="H489" s="307">
        <f t="shared" ca="1" si="215"/>
        <v>204.04190810437677</v>
      </c>
      <c r="I489" s="304">
        <f t="shared" ca="1" si="216"/>
        <v>211.37190463899597</v>
      </c>
      <c r="J489" s="306">
        <f t="shared" ca="1" si="217"/>
        <v>154.50800517842271</v>
      </c>
      <c r="K489" s="307">
        <f t="shared" ca="1" si="218"/>
        <v>629.03577367395849</v>
      </c>
      <c r="L489" s="304">
        <f t="shared" ca="1" si="203"/>
        <v>647.73353180595109</v>
      </c>
      <c r="M489" s="306">
        <f t="shared" ca="1" si="219"/>
        <v>1.3066732460858344</v>
      </c>
      <c r="N489" s="304">
        <f t="shared" ca="1" si="220"/>
        <v>74.866862203377522</v>
      </c>
      <c r="P489" s="310">
        <f t="shared" ca="1" si="221"/>
        <v>23</v>
      </c>
      <c r="Q489" s="304">
        <f t="shared" ca="1" si="222"/>
        <v>0</v>
      </c>
      <c r="R489" s="306">
        <f t="shared" ca="1" si="223"/>
        <v>0</v>
      </c>
      <c r="S489" s="307">
        <f t="shared" ca="1" si="224"/>
        <v>12.409999999999973</v>
      </c>
      <c r="T489" s="304">
        <f t="shared" ca="1" si="204"/>
        <v>121.74209999999975</v>
      </c>
      <c r="U489" s="311">
        <f t="shared" ca="1" si="205"/>
        <v>0</v>
      </c>
      <c r="V489" s="306">
        <f t="shared" ca="1" si="206"/>
        <v>1.1502927930122677</v>
      </c>
      <c r="W489" s="304">
        <f t="shared" ca="1" si="207"/>
        <v>117.35539594497136</v>
      </c>
      <c r="Y489" s="314" t="str">
        <f t="shared" ca="1" si="225"/>
        <v/>
      </c>
      <c r="Z489" s="315" t="str">
        <f t="shared" ca="1" si="226"/>
        <v/>
      </c>
      <c r="AA489" s="316" t="str">
        <f t="shared" ca="1" si="227"/>
        <v/>
      </c>
      <c r="AC489" s="310" t="e">
        <f t="shared" ca="1" si="228"/>
        <v>#N/A</v>
      </c>
      <c r="AD489" s="323" t="e">
        <f t="shared" ca="1" si="229"/>
        <v>#N/A</v>
      </c>
      <c r="AE489" s="324">
        <f t="shared" ca="1" si="208"/>
        <v>629.03577367395849</v>
      </c>
      <c r="AG489" s="306">
        <f t="shared" ca="1" si="230"/>
        <v>-18.945531032362172</v>
      </c>
      <c r="AH489" s="304">
        <f t="shared" ca="1" si="231"/>
        <v>-9.475414053256511</v>
      </c>
    </row>
    <row r="490" spans="1:34" x14ac:dyDescent="0.25">
      <c r="A490" s="347">
        <f t="shared" ca="1" si="209"/>
        <v>0.01</v>
      </c>
      <c r="B490" s="304">
        <f t="shared" ca="1" si="210"/>
        <v>4.8599999999999408</v>
      </c>
      <c r="D490" s="306">
        <f t="shared" ca="1" si="211"/>
        <v>-2.468745787469016</v>
      </c>
      <c r="E490" s="307">
        <f t="shared" ca="1" si="212"/>
        <v>-18.938583594967767</v>
      </c>
      <c r="F490" s="304">
        <f t="shared" ca="1" si="213"/>
        <v>19.098812904123864</v>
      </c>
      <c r="G490" s="306">
        <f t="shared" ca="1" si="214"/>
        <v>55.156666347934312</v>
      </c>
      <c r="H490" s="307">
        <f t="shared" ca="1" si="215"/>
        <v>203.85252226842709</v>
      </c>
      <c r="I490" s="304">
        <f t="shared" ca="1" si="216"/>
        <v>211.18264293690643</v>
      </c>
      <c r="J490" s="306">
        <f t="shared" ca="1" si="217"/>
        <v>155.05969527919143</v>
      </c>
      <c r="K490" s="307">
        <f t="shared" ca="1" si="218"/>
        <v>631.07524582582255</v>
      </c>
      <c r="L490" s="304">
        <f t="shared" ca="1" si="203"/>
        <v>649.8457316888356</v>
      </c>
      <c r="M490" s="306">
        <f t="shared" ca="1" si="219"/>
        <v>1.3065519753876071</v>
      </c>
      <c r="N490" s="304">
        <f t="shared" ca="1" si="220"/>
        <v>74.859913904190506</v>
      </c>
      <c r="P490" s="310">
        <f t="shared" ca="1" si="221"/>
        <v>23</v>
      </c>
      <c r="Q490" s="304">
        <f t="shared" ca="1" si="222"/>
        <v>0</v>
      </c>
      <c r="R490" s="306">
        <f t="shared" ca="1" si="223"/>
        <v>0</v>
      </c>
      <c r="S490" s="307">
        <f t="shared" ca="1" si="224"/>
        <v>12.409999999999973</v>
      </c>
      <c r="T490" s="304">
        <f t="shared" ca="1" si="204"/>
        <v>121.74209999999975</v>
      </c>
      <c r="U490" s="311">
        <f t="shared" ca="1" si="205"/>
        <v>0</v>
      </c>
      <c r="V490" s="306">
        <f t="shared" ca="1" si="206"/>
        <v>1.15005798491593</v>
      </c>
      <c r="W490" s="304">
        <f t="shared" ca="1" si="207"/>
        <v>117.12141801156413</v>
      </c>
      <c r="Y490" s="314" t="str">
        <f t="shared" ca="1" si="225"/>
        <v/>
      </c>
      <c r="Z490" s="315" t="str">
        <f t="shared" ca="1" si="226"/>
        <v/>
      </c>
      <c r="AA490" s="316" t="str">
        <f t="shared" ca="1" si="227"/>
        <v/>
      </c>
      <c r="AC490" s="310" t="e">
        <f t="shared" ca="1" si="228"/>
        <v>#N/A</v>
      </c>
      <c r="AD490" s="323" t="e">
        <f t="shared" ca="1" si="229"/>
        <v>#N/A</v>
      </c>
      <c r="AE490" s="324">
        <f t="shared" ca="1" si="208"/>
        <v>631.07524582582255</v>
      </c>
      <c r="AG490" s="306">
        <f t="shared" ca="1" si="230"/>
        <v>-18.926325497699793</v>
      </c>
      <c r="AH490" s="304">
        <f t="shared" ca="1" si="231"/>
        <v>-9.4565186095867535</v>
      </c>
    </row>
    <row r="491" spans="1:34" x14ac:dyDescent="0.25">
      <c r="A491" s="347">
        <f t="shared" ca="1" si="209"/>
        <v>0.01</v>
      </c>
      <c r="B491" s="304">
        <f t="shared" ca="1" si="210"/>
        <v>4.8699999999999406</v>
      </c>
      <c r="D491" s="306">
        <f t="shared" ca="1" si="211"/>
        <v>-2.4649285171055175</v>
      </c>
      <c r="E491" s="307">
        <f t="shared" ca="1" si="212"/>
        <v>-18.92008457715016</v>
      </c>
      <c r="F491" s="304">
        <f t="shared" ca="1" si="213"/>
        <v>19.079975707556741</v>
      </c>
      <c r="G491" s="306">
        <f t="shared" ca="1" si="214"/>
        <v>55.132017062763254</v>
      </c>
      <c r="H491" s="307">
        <f t="shared" ca="1" si="215"/>
        <v>203.6633214226556</v>
      </c>
      <c r="I491" s="304">
        <f t="shared" ca="1" si="216"/>
        <v>210.9935728839074</v>
      </c>
      <c r="J491" s="306">
        <f t="shared" ca="1" si="217"/>
        <v>155.61113869624492</v>
      </c>
      <c r="K491" s="307">
        <f t="shared" ca="1" si="218"/>
        <v>633.112825044278</v>
      </c>
      <c r="L491" s="304">
        <f t="shared" ca="1" si="203"/>
        <v>651.95603818193797</v>
      </c>
      <c r="M491" s="306">
        <f t="shared" ca="1" si="219"/>
        <v>1.3064305415916624</v>
      </c>
      <c r="N491" s="304">
        <f t="shared" ca="1" si="220"/>
        <v>74.852956260192613</v>
      </c>
      <c r="P491" s="310">
        <f t="shared" ca="1" si="221"/>
        <v>23</v>
      </c>
      <c r="Q491" s="304">
        <f t="shared" ca="1" si="222"/>
        <v>0</v>
      </c>
      <c r="R491" s="306">
        <f t="shared" ca="1" si="223"/>
        <v>0</v>
      </c>
      <c r="S491" s="307">
        <f t="shared" ca="1" si="224"/>
        <v>12.409999999999973</v>
      </c>
      <c r="T491" s="304">
        <f t="shared" ca="1" si="204"/>
        <v>121.74209999999975</v>
      </c>
      <c r="U491" s="311">
        <f t="shared" ca="1" si="205"/>
        <v>0</v>
      </c>
      <c r="V491" s="306">
        <f t="shared" ca="1" si="206"/>
        <v>1.149823441110847</v>
      </c>
      <c r="W491" s="304">
        <f t="shared" ca="1" si="207"/>
        <v>116.88795314768889</v>
      </c>
      <c r="Y491" s="314" t="str">
        <f t="shared" ca="1" si="225"/>
        <v/>
      </c>
      <c r="Z491" s="315" t="str">
        <f t="shared" ca="1" si="226"/>
        <v/>
      </c>
      <c r="AA491" s="316" t="str">
        <f t="shared" ca="1" si="227"/>
        <v/>
      </c>
      <c r="AC491" s="310" t="e">
        <f t="shared" ca="1" si="228"/>
        <v>#N/A</v>
      </c>
      <c r="AD491" s="323" t="e">
        <f t="shared" ca="1" si="229"/>
        <v>#N/A</v>
      </c>
      <c r="AE491" s="324">
        <f t="shared" ca="1" si="208"/>
        <v>633.112825044278</v>
      </c>
      <c r="AG491" s="306">
        <f t="shared" ca="1" si="230"/>
        <v>-18.907160867223567</v>
      </c>
      <c r="AH491" s="304">
        <f t="shared" ca="1" si="231"/>
        <v>-9.4376646262340351</v>
      </c>
    </row>
    <row r="492" spans="1:34" x14ac:dyDescent="0.25">
      <c r="A492" s="347">
        <f t="shared" ca="1" si="209"/>
        <v>0.01</v>
      </c>
      <c r="B492" s="304">
        <f t="shared" ca="1" si="210"/>
        <v>4.8799999999999404</v>
      </c>
      <c r="D492" s="306">
        <f t="shared" ca="1" si="211"/>
        <v>-2.461119082029386</v>
      </c>
      <c r="E492" s="307">
        <f t="shared" ca="1" si="212"/>
        <v>-18.901626125199847</v>
      </c>
      <c r="F492" s="304">
        <f t="shared" ca="1" si="213"/>
        <v>19.061179851015691</v>
      </c>
      <c r="G492" s="306">
        <f t="shared" ca="1" si="214"/>
        <v>55.107405871942959</v>
      </c>
      <c r="H492" s="307">
        <f t="shared" ca="1" si="215"/>
        <v>203.47430516140361</v>
      </c>
      <c r="I492" s="304">
        <f t="shared" ca="1" si="216"/>
        <v>210.80469407214596</v>
      </c>
      <c r="J492" s="306">
        <f t="shared" ca="1" si="217"/>
        <v>156.16233581091845</v>
      </c>
      <c r="K492" s="307">
        <f t="shared" ca="1" si="218"/>
        <v>635.14851317719831</v>
      </c>
      <c r="L492" s="304">
        <f t="shared" ca="1" si="203"/>
        <v>654.06445318265673</v>
      </c>
      <c r="M492" s="306">
        <f t="shared" ca="1" si="219"/>
        <v>1.3063089444442741</v>
      </c>
      <c r="N492" s="304">
        <f t="shared" ca="1" si="220"/>
        <v>74.845989256846437</v>
      </c>
      <c r="P492" s="310">
        <f t="shared" ca="1" si="221"/>
        <v>23</v>
      </c>
      <c r="Q492" s="304">
        <f t="shared" ca="1" si="222"/>
        <v>0</v>
      </c>
      <c r="R492" s="306">
        <f t="shared" ca="1" si="223"/>
        <v>0</v>
      </c>
      <c r="S492" s="307">
        <f t="shared" ca="1" si="224"/>
        <v>12.409999999999973</v>
      </c>
      <c r="T492" s="304">
        <f t="shared" ca="1" si="204"/>
        <v>121.74209999999975</v>
      </c>
      <c r="U492" s="311">
        <f t="shared" ca="1" si="205"/>
        <v>0</v>
      </c>
      <c r="V492" s="306">
        <f t="shared" ca="1" si="206"/>
        <v>1.1495891612415374</v>
      </c>
      <c r="W492" s="304">
        <f t="shared" ca="1" si="207"/>
        <v>116.65499990559074</v>
      </c>
      <c r="Y492" s="314" t="str">
        <f t="shared" ca="1" si="225"/>
        <v/>
      </c>
      <c r="Z492" s="315" t="str">
        <f t="shared" ca="1" si="226"/>
        <v/>
      </c>
      <c r="AA492" s="316" t="str">
        <f t="shared" ca="1" si="227"/>
        <v/>
      </c>
      <c r="AC492" s="310" t="e">
        <f t="shared" ca="1" si="228"/>
        <v>#N/A</v>
      </c>
      <c r="AD492" s="323" t="e">
        <f t="shared" ca="1" si="229"/>
        <v>#N/A</v>
      </c>
      <c r="AE492" s="324">
        <f t="shared" ca="1" si="208"/>
        <v>635.14851317719831</v>
      </c>
      <c r="AG492" s="306">
        <f t="shared" ca="1" si="230"/>
        <v>-18.888037022644944</v>
      </c>
      <c r="AH492" s="304">
        <f t="shared" ca="1" si="231"/>
        <v>-9.4188519861151612</v>
      </c>
    </row>
    <row r="493" spans="1:34" x14ac:dyDescent="0.25">
      <c r="A493" s="347">
        <f t="shared" ca="1" si="209"/>
        <v>0.01</v>
      </c>
      <c r="B493" s="304">
        <f t="shared" ca="1" si="210"/>
        <v>4.8899999999999402</v>
      </c>
      <c r="D493" s="306">
        <f t="shared" ca="1" si="211"/>
        <v>-2.4573174597539236</v>
      </c>
      <c r="E493" s="307">
        <f t="shared" ca="1" si="212"/>
        <v>-18.883208124626719</v>
      </c>
      <c r="F493" s="304">
        <f t="shared" ca="1" si="213"/>
        <v>19.042425217812465</v>
      </c>
      <c r="G493" s="306">
        <f t="shared" ca="1" si="214"/>
        <v>55.082832697345417</v>
      </c>
      <c r="H493" s="307">
        <f t="shared" ca="1" si="215"/>
        <v>203.28547308015735</v>
      </c>
      <c r="I493" s="304">
        <f t="shared" ca="1" si="216"/>
        <v>210.61600609494789</v>
      </c>
      <c r="J493" s="306">
        <f t="shared" ca="1" si="217"/>
        <v>156.71328700376489</v>
      </c>
      <c r="K493" s="307">
        <f t="shared" ca="1" si="218"/>
        <v>637.18231206840608</v>
      </c>
      <c r="L493" s="304">
        <f t="shared" ca="1" si="203"/>
        <v>656.17097858436568</v>
      </c>
      <c r="M493" s="306">
        <f t="shared" ca="1" si="219"/>
        <v>1.3061871836911372</v>
      </c>
      <c r="N493" s="304">
        <f t="shared" ca="1" si="220"/>
        <v>74.839012879581361</v>
      </c>
      <c r="P493" s="310">
        <f t="shared" ca="1" si="221"/>
        <v>23</v>
      </c>
      <c r="Q493" s="304">
        <f t="shared" ca="1" si="222"/>
        <v>0</v>
      </c>
      <c r="R493" s="306">
        <f t="shared" ca="1" si="223"/>
        <v>0</v>
      </c>
      <c r="S493" s="307">
        <f t="shared" ca="1" si="224"/>
        <v>12.409999999999973</v>
      </c>
      <c r="T493" s="304">
        <f t="shared" ca="1" si="204"/>
        <v>121.74209999999975</v>
      </c>
      <c r="U493" s="311">
        <f t="shared" ca="1" si="205"/>
        <v>0</v>
      </c>
      <c r="V493" s="306">
        <f t="shared" ca="1" si="206"/>
        <v>1.1493551449533554</v>
      </c>
      <c r="W493" s="304">
        <f t="shared" ca="1" si="207"/>
        <v>116.42255684273933</v>
      </c>
      <c r="Y493" s="314" t="str">
        <f t="shared" ca="1" si="225"/>
        <v/>
      </c>
      <c r="Z493" s="315" t="str">
        <f t="shared" ca="1" si="226"/>
        <v/>
      </c>
      <c r="AA493" s="316" t="str">
        <f t="shared" ca="1" si="227"/>
        <v/>
      </c>
      <c r="AC493" s="310" t="e">
        <f t="shared" ca="1" si="228"/>
        <v>#N/A</v>
      </c>
      <c r="AD493" s="323" t="e">
        <f t="shared" ca="1" si="229"/>
        <v>#N/A</v>
      </c>
      <c r="AE493" s="324">
        <f t="shared" ca="1" si="208"/>
        <v>637.18231206840608</v>
      </c>
      <c r="AG493" s="306">
        <f t="shared" ca="1" si="230"/>
        <v>-18.86895384609484</v>
      </c>
      <c r="AH493" s="304">
        <f t="shared" ca="1" si="231"/>
        <v>-9.4000805725697809</v>
      </c>
    </row>
    <row r="494" spans="1:34" x14ac:dyDescent="0.25">
      <c r="A494" s="347">
        <f t="shared" ca="1" si="209"/>
        <v>0.01</v>
      </c>
      <c r="B494" s="304">
        <f t="shared" ca="1" si="210"/>
        <v>4.89999999999994</v>
      </c>
      <c r="D494" s="306">
        <f t="shared" ca="1" si="211"/>
        <v>-2.4535236278733561</v>
      </c>
      <c r="E494" s="307">
        <f t="shared" ca="1" si="212"/>
        <v>-18.864830461353812</v>
      </c>
      <c r="F494" s="304">
        <f t="shared" ca="1" si="213"/>
        <v>19.023711691679821</v>
      </c>
      <c r="G494" s="306">
        <f t="shared" ca="1" si="214"/>
        <v>55.058297461066687</v>
      </c>
      <c r="H494" s="307">
        <f t="shared" ca="1" si="215"/>
        <v>203.09682477554381</v>
      </c>
      <c r="I494" s="304">
        <f t="shared" ca="1" si="216"/>
        <v>210.42750854681344</v>
      </c>
      <c r="J494" s="306">
        <f t="shared" ca="1" si="217"/>
        <v>157.26399265455694</v>
      </c>
      <c r="K494" s="307">
        <f t="shared" ca="1" si="218"/>
        <v>639.21422355768459</v>
      </c>
      <c r="L494" s="304">
        <f t="shared" ca="1" si="203"/>
        <v>658.27561627642422</v>
      </c>
      <c r="M494" s="306">
        <f t="shared" ca="1" si="219"/>
        <v>1.3060652590773667</v>
      </c>
      <c r="N494" s="304">
        <f t="shared" ca="1" si="220"/>
        <v>74.832027113793544</v>
      </c>
      <c r="P494" s="310">
        <f t="shared" ca="1" si="221"/>
        <v>23</v>
      </c>
      <c r="Q494" s="304">
        <f t="shared" ca="1" si="222"/>
        <v>0</v>
      </c>
      <c r="R494" s="306">
        <f t="shared" ca="1" si="223"/>
        <v>0</v>
      </c>
      <c r="S494" s="307">
        <f t="shared" ca="1" si="224"/>
        <v>12.409999999999973</v>
      </c>
      <c r="T494" s="304">
        <f t="shared" ca="1" si="204"/>
        <v>121.74209999999975</v>
      </c>
      <c r="U494" s="311">
        <f t="shared" ca="1" si="205"/>
        <v>0</v>
      </c>
      <c r="V494" s="306">
        <f t="shared" ca="1" si="206"/>
        <v>1.1491213918924879</v>
      </c>
      <c r="W494" s="304">
        <f t="shared" ca="1" si="207"/>
        <v>116.19062252180629</v>
      </c>
      <c r="Y494" s="314" t="str">
        <f t="shared" ca="1" si="225"/>
        <v/>
      </c>
      <c r="Z494" s="315" t="str">
        <f t="shared" ca="1" si="226"/>
        <v/>
      </c>
      <c r="AA494" s="316" t="str">
        <f t="shared" ca="1" si="227"/>
        <v/>
      </c>
      <c r="AC494" s="310" t="e">
        <f t="shared" ca="1" si="228"/>
        <v>#N/A</v>
      </c>
      <c r="AD494" s="323" t="e">
        <f t="shared" ca="1" si="229"/>
        <v>#N/A</v>
      </c>
      <c r="AE494" s="324">
        <f t="shared" ca="1" si="208"/>
        <v>639.21422355768459</v>
      </c>
      <c r="AG494" s="306">
        <f t="shared" ca="1" si="230"/>
        <v>-18.849911220121825</v>
      </c>
      <c r="AH494" s="304">
        <f t="shared" ca="1" si="231"/>
        <v>-9.3813502693585473</v>
      </c>
    </row>
    <row r="495" spans="1:34" x14ac:dyDescent="0.25">
      <c r="A495" s="347">
        <f t="shared" ca="1" si="209"/>
        <v>0.01</v>
      </c>
      <c r="B495" s="304">
        <f t="shared" ca="1" si="210"/>
        <v>4.9099999999999397</v>
      </c>
      <c r="D495" s="306">
        <f t="shared" ca="1" si="211"/>
        <v>-2.4497375640624699</v>
      </c>
      <c r="E495" s="307">
        <f t="shared" ca="1" si="212"/>
        <v>-18.84649302171546</v>
      </c>
      <c r="F495" s="304">
        <f t="shared" ca="1" si="213"/>
        <v>19.005039156769666</v>
      </c>
      <c r="G495" s="306">
        <f t="shared" ca="1" si="214"/>
        <v>55.033800085426059</v>
      </c>
      <c r="H495" s="307">
        <f t="shared" ca="1" si="215"/>
        <v>202.90835984532666</v>
      </c>
      <c r="I495" s="304">
        <f t="shared" ca="1" si="216"/>
        <v>210.23920102341336</v>
      </c>
      <c r="J495" s="306">
        <f t="shared" ca="1" si="217"/>
        <v>157.81445314228941</v>
      </c>
      <c r="K495" s="307">
        <f t="shared" ca="1" si="218"/>
        <v>641.24424948078899</v>
      </c>
      <c r="L495" s="304">
        <f t="shared" ca="1" si="203"/>
        <v>660.37836814418768</v>
      </c>
      <c r="M495" s="306">
        <f t="shared" ca="1" si="219"/>
        <v>1.3059431703474953</v>
      </c>
      <c r="N495" s="304">
        <f t="shared" ca="1" si="220"/>
        <v>74.825031944845804</v>
      </c>
      <c r="P495" s="310">
        <f t="shared" ca="1" si="221"/>
        <v>23</v>
      </c>
      <c r="Q495" s="304">
        <f t="shared" ca="1" si="222"/>
        <v>0</v>
      </c>
      <c r="R495" s="306">
        <f t="shared" ca="1" si="223"/>
        <v>0</v>
      </c>
      <c r="S495" s="307">
        <f t="shared" ca="1" si="224"/>
        <v>12.409999999999973</v>
      </c>
      <c r="T495" s="304">
        <f t="shared" ca="1" si="204"/>
        <v>121.74209999999975</v>
      </c>
      <c r="U495" s="311">
        <f t="shared" ca="1" si="205"/>
        <v>0</v>
      </c>
      <c r="V495" s="306">
        <f t="shared" ca="1" si="206"/>
        <v>1.1488879017059523</v>
      </c>
      <c r="W495" s="304">
        <f t="shared" ca="1" si="207"/>
        <v>115.95919551064269</v>
      </c>
      <c r="Y495" s="314" t="str">
        <f t="shared" ca="1" si="225"/>
        <v/>
      </c>
      <c r="Z495" s="315" t="str">
        <f t="shared" ca="1" si="226"/>
        <v/>
      </c>
      <c r="AA495" s="316" t="str">
        <f t="shared" ca="1" si="227"/>
        <v/>
      </c>
      <c r="AC495" s="310" t="e">
        <f t="shared" ca="1" si="228"/>
        <v>#N/A</v>
      </c>
      <c r="AD495" s="323" t="e">
        <f t="shared" ca="1" si="229"/>
        <v>#N/A</v>
      </c>
      <c r="AE495" s="324">
        <f t="shared" ca="1" si="208"/>
        <v>641.24424948078899</v>
      </c>
      <c r="AG495" s="306">
        <f t="shared" ca="1" si="230"/>
        <v>-18.83090902769024</v>
      </c>
      <c r="AH495" s="304">
        <f t="shared" ca="1" si="231"/>
        <v>-9.3626609606612838</v>
      </c>
    </row>
    <row r="496" spans="1:34" x14ac:dyDescent="0.25">
      <c r="A496" s="347">
        <f t="shared" ca="1" si="209"/>
        <v>0.01</v>
      </c>
      <c r="B496" s="304">
        <f t="shared" ca="1" si="210"/>
        <v>4.9199999999999395</v>
      </c>
      <c r="D496" s="306">
        <f t="shared" ca="1" si="211"/>
        <v>-2.4459592460762791</v>
      </c>
      <c r="E496" s="307">
        <f t="shared" ca="1" si="212"/>
        <v>-18.828195692455552</v>
      </c>
      <c r="F496" s="304">
        <f t="shared" ca="1" si="213"/>
        <v>18.986407497651257</v>
      </c>
      <c r="G496" s="306">
        <f t="shared" ca="1" si="214"/>
        <v>55.009340492965293</v>
      </c>
      <c r="H496" s="307">
        <f t="shared" ca="1" si="215"/>
        <v>202.7200778884021</v>
      </c>
      <c r="I496" s="304">
        <f t="shared" ca="1" si="216"/>
        <v>210.05108312158453</v>
      </c>
      <c r="J496" s="306">
        <f t="shared" ca="1" si="217"/>
        <v>158.36466884518137</v>
      </c>
      <c r="K496" s="307">
        <f t="shared" ca="1" si="218"/>
        <v>643.27239166945765</v>
      </c>
      <c r="L496" s="304">
        <f t="shared" ca="1" si="203"/>
        <v>662.47923606901679</v>
      </c>
      <c r="M496" s="306">
        <f t="shared" ca="1" si="219"/>
        <v>1.3058209172454729</v>
      </c>
      <c r="N496" s="304">
        <f t="shared" ca="1" si="220"/>
        <v>74.818027358067539</v>
      </c>
      <c r="P496" s="310">
        <f t="shared" ca="1" si="221"/>
        <v>23</v>
      </c>
      <c r="Q496" s="304">
        <f t="shared" ca="1" si="222"/>
        <v>0</v>
      </c>
      <c r="R496" s="306">
        <f t="shared" ca="1" si="223"/>
        <v>0</v>
      </c>
      <c r="S496" s="307">
        <f t="shared" ca="1" si="224"/>
        <v>12.409999999999973</v>
      </c>
      <c r="T496" s="304">
        <f t="shared" ca="1" si="204"/>
        <v>121.74209999999975</v>
      </c>
      <c r="U496" s="311">
        <f t="shared" ca="1" si="205"/>
        <v>0</v>
      </c>
      <c r="V496" s="306">
        <f t="shared" ca="1" si="206"/>
        <v>1.1486546740415937</v>
      </c>
      <c r="W496" s="304">
        <f t="shared" ca="1" si="207"/>
        <v>115.72827438225646</v>
      </c>
      <c r="Y496" s="314" t="str">
        <f t="shared" ca="1" si="225"/>
        <v/>
      </c>
      <c r="Z496" s="315" t="str">
        <f t="shared" ca="1" si="226"/>
        <v/>
      </c>
      <c r="AA496" s="316" t="str">
        <f t="shared" ca="1" si="227"/>
        <v/>
      </c>
      <c r="AC496" s="310" t="e">
        <f t="shared" ca="1" si="228"/>
        <v>#N/A</v>
      </c>
      <c r="AD496" s="323" t="e">
        <f t="shared" ca="1" si="229"/>
        <v>#N/A</v>
      </c>
      <c r="AE496" s="324">
        <f t="shared" ca="1" si="208"/>
        <v>643.27239166945765</v>
      </c>
      <c r="AG496" s="306">
        <f t="shared" ca="1" si="230"/>
        <v>-18.811947152178394</v>
      </c>
      <c r="AH496" s="304">
        <f t="shared" ca="1" si="231"/>
        <v>-9.344012531075176</v>
      </c>
    </row>
    <row r="497" spans="1:34" x14ac:dyDescent="0.25">
      <c r="A497" s="347">
        <f t="shared" ca="1" si="209"/>
        <v>0.01</v>
      </c>
      <c r="B497" s="304">
        <f t="shared" ca="1" si="210"/>
        <v>4.9299999999999393</v>
      </c>
      <c r="D497" s="306">
        <f t="shared" ca="1" si="211"/>
        <v>-2.4421886517496589</v>
      </c>
      <c r="E497" s="307">
        <f t="shared" ca="1" si="212"/>
        <v>-18.809938360725749</v>
      </c>
      <c r="F497" s="304">
        <f t="shared" ca="1" si="213"/>
        <v>18.967816599309391</v>
      </c>
      <c r="G497" s="306">
        <f t="shared" ca="1" si="214"/>
        <v>54.984918606447799</v>
      </c>
      <c r="H497" s="307">
        <f t="shared" ca="1" si="215"/>
        <v>202.53197850479484</v>
      </c>
      <c r="I497" s="304">
        <f t="shared" ca="1" si="216"/>
        <v>209.86315443932594</v>
      </c>
      <c r="J497" s="306">
        <f t="shared" ca="1" si="217"/>
        <v>158.91464014067844</v>
      </c>
      <c r="K497" s="307">
        <f t="shared" ca="1" si="218"/>
        <v>645.29865195142361</v>
      </c>
      <c r="L497" s="304">
        <f t="shared" ca="1" si="203"/>
        <v>664.57822192828883</v>
      </c>
      <c r="M497" s="306">
        <f t="shared" ca="1" si="219"/>
        <v>1.3056984995146641</v>
      </c>
      <c r="N497" s="304">
        <f t="shared" ca="1" si="220"/>
        <v>74.81101333875462</v>
      </c>
      <c r="P497" s="310">
        <f t="shared" ca="1" si="221"/>
        <v>23</v>
      </c>
      <c r="Q497" s="304">
        <f t="shared" ca="1" si="222"/>
        <v>0</v>
      </c>
      <c r="R497" s="306">
        <f t="shared" ca="1" si="223"/>
        <v>0</v>
      </c>
      <c r="S497" s="307">
        <f t="shared" ca="1" si="224"/>
        <v>12.409999999999973</v>
      </c>
      <c r="T497" s="304">
        <f t="shared" ca="1" si="204"/>
        <v>121.74209999999975</v>
      </c>
      <c r="U497" s="311">
        <f t="shared" ca="1" si="205"/>
        <v>0</v>
      </c>
      <c r="V497" s="306">
        <f t="shared" ca="1" si="206"/>
        <v>1.1484217085480839</v>
      </c>
      <c r="W497" s="304">
        <f t="shared" ca="1" si="207"/>
        <v>115.49785771479043</v>
      </c>
      <c r="Y497" s="314" t="str">
        <f t="shared" ca="1" si="225"/>
        <v/>
      </c>
      <c r="Z497" s="315" t="str">
        <f t="shared" ca="1" si="226"/>
        <v/>
      </c>
      <c r="AA497" s="316" t="str">
        <f t="shared" ca="1" si="227"/>
        <v/>
      </c>
      <c r="AC497" s="310" t="e">
        <f t="shared" ca="1" si="228"/>
        <v>#N/A</v>
      </c>
      <c r="AD497" s="323" t="e">
        <f t="shared" ca="1" si="229"/>
        <v>#N/A</v>
      </c>
      <c r="AE497" s="324">
        <f t="shared" ca="1" si="208"/>
        <v>645.29865195142361</v>
      </c>
      <c r="AG497" s="306">
        <f t="shared" ca="1" si="230"/>
        <v>-18.793025477376752</v>
      </c>
      <c r="AH497" s="304">
        <f t="shared" ca="1" si="231"/>
        <v>-9.3254048656129491</v>
      </c>
    </row>
    <row r="498" spans="1:34" x14ac:dyDescent="0.25">
      <c r="A498" s="347">
        <f t="shared" ca="1" si="209"/>
        <v>0.01</v>
      </c>
      <c r="B498" s="304">
        <f t="shared" ca="1" si="210"/>
        <v>4.9399999999999391</v>
      </c>
      <c r="D498" s="306">
        <f t="shared" ca="1" si="211"/>
        <v>-2.4384257589970231</v>
      </c>
      <c r="E498" s="307">
        <f t="shared" ca="1" si="212"/>
        <v>-18.791720914083719</v>
      </c>
      <c r="F498" s="304">
        <f t="shared" ca="1" si="213"/>
        <v>18.949266347142615</v>
      </c>
      <c r="G498" s="306">
        <f t="shared" ca="1" si="214"/>
        <v>54.960534348857827</v>
      </c>
      <c r="H498" s="307">
        <f t="shared" ca="1" si="215"/>
        <v>202.344061295654</v>
      </c>
      <c r="I498" s="304">
        <f t="shared" ca="1" si="216"/>
        <v>209.67541457579466</v>
      </c>
      <c r="J498" s="306">
        <f t="shared" ca="1" si="217"/>
        <v>159.46436740545496</v>
      </c>
      <c r="K498" s="307">
        <f t="shared" ca="1" si="218"/>
        <v>647.32303215042589</v>
      </c>
      <c r="L498" s="304">
        <f t="shared" ca="1" si="203"/>
        <v>666.675327595407</v>
      </c>
      <c r="M498" s="306">
        <f t="shared" ca="1" si="219"/>
        <v>1.3055759168978474</v>
      </c>
      <c r="N498" s="304">
        <f t="shared" ca="1" si="220"/>
        <v>74.803989872169353</v>
      </c>
      <c r="P498" s="310">
        <f t="shared" ca="1" si="221"/>
        <v>23</v>
      </c>
      <c r="Q498" s="304">
        <f t="shared" ca="1" si="222"/>
        <v>0</v>
      </c>
      <c r="R498" s="306">
        <f t="shared" ca="1" si="223"/>
        <v>0</v>
      </c>
      <c r="S498" s="307">
        <f t="shared" ca="1" si="224"/>
        <v>12.409999999999973</v>
      </c>
      <c r="T498" s="304">
        <f t="shared" ca="1" si="204"/>
        <v>121.74209999999975</v>
      </c>
      <c r="U498" s="311">
        <f t="shared" ca="1" si="205"/>
        <v>0</v>
      </c>
      <c r="V498" s="306">
        <f t="shared" ca="1" si="206"/>
        <v>1.1481890048749159</v>
      </c>
      <c r="W498" s="304">
        <f t="shared" ca="1" si="207"/>
        <v>115.26794409149952</v>
      </c>
      <c r="Y498" s="314" t="str">
        <f t="shared" ca="1" si="225"/>
        <v/>
      </c>
      <c r="Z498" s="315" t="str">
        <f t="shared" ca="1" si="226"/>
        <v/>
      </c>
      <c r="AA498" s="316" t="str">
        <f t="shared" ca="1" si="227"/>
        <v/>
      </c>
      <c r="AC498" s="310" t="e">
        <f t="shared" ca="1" si="228"/>
        <v>#N/A</v>
      </c>
      <c r="AD498" s="323" t="e">
        <f t="shared" ca="1" si="229"/>
        <v>#N/A</v>
      </c>
      <c r="AE498" s="324">
        <f t="shared" ca="1" si="208"/>
        <v>647.32303215042589</v>
      </c>
      <c r="AG498" s="306">
        <f t="shared" ca="1" si="230"/>
        <v>-18.774143887486108</v>
      </c>
      <c r="AH498" s="304">
        <f t="shared" ca="1" si="231"/>
        <v>-9.3068378497011022</v>
      </c>
    </row>
    <row r="499" spans="1:34" x14ac:dyDescent="0.25">
      <c r="A499" s="347">
        <f t="shared" ca="1" si="209"/>
        <v>0.01</v>
      </c>
      <c r="B499" s="304">
        <f t="shared" ca="1" si="210"/>
        <v>4.9499999999999389</v>
      </c>
      <c r="D499" s="306">
        <f t="shared" ca="1" si="211"/>
        <v>-2.4346705458119544</v>
      </c>
      <c r="E499" s="307">
        <f t="shared" ca="1" si="212"/>
        <v>-18.77354324049135</v>
      </c>
      <c r="F499" s="304">
        <f t="shared" ca="1" si="213"/>
        <v>18.930756626961394</v>
      </c>
      <c r="G499" s="306">
        <f t="shared" ca="1" si="214"/>
        <v>54.936187643399705</v>
      </c>
      <c r="H499" s="307">
        <f t="shared" ca="1" si="215"/>
        <v>202.15632586324909</v>
      </c>
      <c r="I499" s="304">
        <f t="shared" ca="1" si="216"/>
        <v>209.48786313130165</v>
      </c>
      <c r="J499" s="306">
        <f t="shared" ca="1" si="217"/>
        <v>160.01385101541626</v>
      </c>
      <c r="K499" s="307">
        <f t="shared" ca="1" si="218"/>
        <v>649.34553408622037</v>
      </c>
      <c r="L499" s="304">
        <f t="shared" ca="1" si="203"/>
        <v>668.77055493981095</v>
      </c>
      <c r="M499" s="306">
        <f t="shared" ca="1" si="219"/>
        <v>1.3054531691372135</v>
      </c>
      <c r="N499" s="304">
        <f t="shared" ca="1" si="220"/>
        <v>74.796956943540351</v>
      </c>
      <c r="P499" s="310">
        <f t="shared" ca="1" si="221"/>
        <v>23</v>
      </c>
      <c r="Q499" s="304">
        <f t="shared" ca="1" si="222"/>
        <v>0</v>
      </c>
      <c r="R499" s="306">
        <f t="shared" ca="1" si="223"/>
        <v>0</v>
      </c>
      <c r="S499" s="307">
        <f t="shared" ca="1" si="224"/>
        <v>12.409999999999973</v>
      </c>
      <c r="T499" s="304">
        <f t="shared" ca="1" si="204"/>
        <v>121.74209999999975</v>
      </c>
      <c r="U499" s="311">
        <f t="shared" ca="1" si="205"/>
        <v>0</v>
      </c>
      <c r="V499" s="306">
        <f t="shared" ca="1" si="206"/>
        <v>1.1479565626724044</v>
      </c>
      <c r="W499" s="304">
        <f t="shared" ca="1" si="207"/>
        <v>115.03853210072917</v>
      </c>
      <c r="Y499" s="314" t="str">
        <f t="shared" ca="1" si="225"/>
        <v/>
      </c>
      <c r="Z499" s="315" t="str">
        <f t="shared" ca="1" si="226"/>
        <v/>
      </c>
      <c r="AA499" s="316" t="str">
        <f t="shared" ca="1" si="227"/>
        <v/>
      </c>
      <c r="AC499" s="310" t="e">
        <f t="shared" ca="1" si="228"/>
        <v>#N/A</v>
      </c>
      <c r="AD499" s="323" t="e">
        <f t="shared" ca="1" si="229"/>
        <v>#N/A</v>
      </c>
      <c r="AE499" s="324">
        <f t="shared" ca="1" si="208"/>
        <v>649.34553408622037</v>
      </c>
      <c r="AG499" s="306">
        <f t="shared" ca="1" si="230"/>
        <v>-18.755302267115781</v>
      </c>
      <c r="AH499" s="304">
        <f t="shared" ca="1" si="231"/>
        <v>-9.2883113691780625</v>
      </c>
    </row>
    <row r="500" spans="1:34" x14ac:dyDescent="0.25">
      <c r="A500" s="347">
        <f t="shared" ca="1" si="209"/>
        <v>0.01</v>
      </c>
      <c r="B500" s="304">
        <f t="shared" ca="1" si="210"/>
        <v>4.9599999999999387</v>
      </c>
      <c r="D500" s="306">
        <f t="shared" ca="1" si="211"/>
        <v>-2.4309229902668785</v>
      </c>
      <c r="E500" s="307">
        <f t="shared" ca="1" si="212"/>
        <v>-18.755405228313059</v>
      </c>
      <c r="F500" s="304">
        <f t="shared" ca="1" si="213"/>
        <v>18.912287324986391</v>
      </c>
      <c r="G500" s="306">
        <f t="shared" ca="1" si="214"/>
        <v>54.911878413497035</v>
      </c>
      <c r="H500" s="307">
        <f t="shared" ca="1" si="215"/>
        <v>201.96877181096596</v>
      </c>
      <c r="I500" s="304">
        <f t="shared" ca="1" si="216"/>
        <v>209.30049970730772</v>
      </c>
      <c r="J500" s="306">
        <f t="shared" ca="1" si="217"/>
        <v>160.56309134570074</v>
      </c>
      <c r="K500" s="307">
        <f t="shared" ca="1" si="218"/>
        <v>651.36615957459139</v>
      </c>
      <c r="L500" s="304">
        <f t="shared" ca="1" si="203"/>
        <v>670.86390582698652</v>
      </c>
      <c r="M500" s="306">
        <f t="shared" ca="1" si="219"/>
        <v>1.3053302559743634</v>
      </c>
      <c r="N500" s="304">
        <f t="shared" ca="1" si="220"/>
        <v>74.789914538062433</v>
      </c>
      <c r="P500" s="310">
        <f t="shared" ca="1" si="221"/>
        <v>23</v>
      </c>
      <c r="Q500" s="304">
        <f t="shared" ca="1" si="222"/>
        <v>0</v>
      </c>
      <c r="R500" s="306">
        <f t="shared" ca="1" si="223"/>
        <v>0</v>
      </c>
      <c r="S500" s="307">
        <f t="shared" ca="1" si="224"/>
        <v>12.409999999999973</v>
      </c>
      <c r="T500" s="304">
        <f t="shared" ca="1" si="204"/>
        <v>121.74209999999975</v>
      </c>
      <c r="U500" s="311">
        <f t="shared" ca="1" si="205"/>
        <v>0</v>
      </c>
      <c r="V500" s="306">
        <f t="shared" ca="1" si="206"/>
        <v>1.1477243815916816</v>
      </c>
      <c r="W500" s="304">
        <f t="shared" ca="1" si="207"/>
        <v>114.809620335893</v>
      </c>
      <c r="Y500" s="314" t="str">
        <f t="shared" ca="1" si="225"/>
        <v/>
      </c>
      <c r="Z500" s="315" t="str">
        <f t="shared" ca="1" si="226"/>
        <v/>
      </c>
      <c r="AA500" s="316" t="str">
        <f t="shared" ca="1" si="227"/>
        <v/>
      </c>
      <c r="AC500" s="310" t="e">
        <f t="shared" ca="1" si="228"/>
        <v>#N/A</v>
      </c>
      <c r="AD500" s="323" t="e">
        <f t="shared" ca="1" si="229"/>
        <v>#N/A</v>
      </c>
      <c r="AE500" s="324">
        <f t="shared" ca="1" si="208"/>
        <v>651.36615957459139</v>
      </c>
      <c r="AG500" s="306">
        <f t="shared" ca="1" si="230"/>
        <v>-18.736500501281846</v>
      </c>
      <c r="AH500" s="304">
        <f t="shared" ca="1" si="231"/>
        <v>-9.2698253102924593</v>
      </c>
    </row>
    <row r="501" spans="1:34" x14ac:dyDescent="0.25">
      <c r="A501" s="347">
        <f t="shared" ca="1" si="209"/>
        <v>0.01</v>
      </c>
      <c r="B501" s="304">
        <f t="shared" ca="1" si="210"/>
        <v>4.9699999999999385</v>
      </c>
      <c r="D501" s="306">
        <f t="shared" ca="1" si="211"/>
        <v>-2.4271830705127204</v>
      </c>
      <c r="E501" s="307">
        <f t="shared" ca="1" si="212"/>
        <v>-18.737306766313996</v>
      </c>
      <c r="F501" s="304">
        <f t="shared" ca="1" si="213"/>
        <v>18.89385832784664</v>
      </c>
      <c r="G501" s="306">
        <f t="shared" ca="1" si="214"/>
        <v>54.887606582791911</v>
      </c>
      <c r="H501" s="307">
        <f t="shared" ca="1" si="215"/>
        <v>201.78139874330282</v>
      </c>
      <c r="I501" s="304">
        <f t="shared" ca="1" si="216"/>
        <v>209.11332390641948</v>
      </c>
      <c r="J501" s="306">
        <f t="shared" ca="1" si="217"/>
        <v>161.11208877068219</v>
      </c>
      <c r="K501" s="307">
        <f t="shared" ca="1" si="218"/>
        <v>653.38491042736268</v>
      </c>
      <c r="L501" s="304">
        <f t="shared" ca="1" si="203"/>
        <v>672.95538211847668</v>
      </c>
      <c r="M501" s="306">
        <f t="shared" ca="1" si="219"/>
        <v>1.3052071771503071</v>
      </c>
      <c r="N501" s="304">
        <f t="shared" ca="1" si="220"/>
        <v>74.782862640896582</v>
      </c>
      <c r="P501" s="310">
        <f t="shared" ca="1" si="221"/>
        <v>23</v>
      </c>
      <c r="Q501" s="304">
        <f t="shared" ca="1" si="222"/>
        <v>0</v>
      </c>
      <c r="R501" s="306">
        <f t="shared" ca="1" si="223"/>
        <v>0</v>
      </c>
      <c r="S501" s="307">
        <f t="shared" ca="1" si="224"/>
        <v>12.409999999999973</v>
      </c>
      <c r="T501" s="304">
        <f t="shared" ca="1" si="204"/>
        <v>121.74209999999975</v>
      </c>
      <c r="U501" s="311">
        <f t="shared" ca="1" si="205"/>
        <v>0</v>
      </c>
      <c r="V501" s="306">
        <f t="shared" ca="1" si="206"/>
        <v>1.1474924612846955</v>
      </c>
      <c r="W501" s="304">
        <f t="shared" ca="1" si="207"/>
        <v>114.58120739545117</v>
      </c>
      <c r="Y501" s="314" t="str">
        <f t="shared" ca="1" si="225"/>
        <v/>
      </c>
      <c r="Z501" s="315" t="str">
        <f t="shared" ca="1" si="226"/>
        <v/>
      </c>
      <c r="AA501" s="316" t="str">
        <f t="shared" ca="1" si="227"/>
        <v/>
      </c>
      <c r="AC501" s="310" t="e">
        <f t="shared" ca="1" si="228"/>
        <v>#N/A</v>
      </c>
      <c r="AD501" s="323" t="e">
        <f t="shared" ca="1" si="229"/>
        <v>#N/A</v>
      </c>
      <c r="AE501" s="324">
        <f t="shared" ca="1" si="208"/>
        <v>653.38491042736268</v>
      </c>
      <c r="AG501" s="306">
        <f t="shared" ca="1" si="230"/>
        <v>-18.717738475405319</v>
      </c>
      <c r="AH501" s="304">
        <f t="shared" ca="1" si="231"/>
        <v>-9.2513795597013093</v>
      </c>
    </row>
    <row r="502" spans="1:34" x14ac:dyDescent="0.25">
      <c r="A502" s="347">
        <f t="shared" ca="1" si="209"/>
        <v>0.01</v>
      </c>
      <c r="B502" s="304">
        <f t="shared" ca="1" si="210"/>
        <v>4.9799999999999383</v>
      </c>
      <c r="D502" s="306">
        <f t="shared" ca="1" si="211"/>
        <v>-2.4234507647785644</v>
      </c>
      <c r="E502" s="307">
        <f t="shared" ca="1" si="212"/>
        <v>-18.719247743658347</v>
      </c>
      <c r="F502" s="304">
        <f t="shared" ca="1" si="213"/>
        <v>18.875469522577813</v>
      </c>
      <c r="G502" s="306">
        <f t="shared" ca="1" si="214"/>
        <v>54.863372075144127</v>
      </c>
      <c r="H502" s="307">
        <f t="shared" ca="1" si="215"/>
        <v>201.59420626586623</v>
      </c>
      <c r="I502" s="304">
        <f t="shared" ca="1" si="216"/>
        <v>208.92633533238535</v>
      </c>
      <c r="J502" s="306">
        <f t="shared" ca="1" si="217"/>
        <v>161.66084366397186</v>
      </c>
      <c r="K502" s="307">
        <f t="shared" ca="1" si="218"/>
        <v>655.40178845240848</v>
      </c>
      <c r="L502" s="304">
        <f t="shared" ca="1" si="203"/>
        <v>675.04498567189046</v>
      </c>
      <c r="M502" s="306">
        <f t="shared" ca="1" si="219"/>
        <v>1.3050839324054624</v>
      </c>
      <c r="N502" s="304">
        <f t="shared" ca="1" si="220"/>
        <v>74.775801237169802</v>
      </c>
      <c r="P502" s="310">
        <f t="shared" ca="1" si="221"/>
        <v>23</v>
      </c>
      <c r="Q502" s="304">
        <f t="shared" ca="1" si="222"/>
        <v>0</v>
      </c>
      <c r="R502" s="306">
        <f t="shared" ca="1" si="223"/>
        <v>0</v>
      </c>
      <c r="S502" s="307">
        <f t="shared" ca="1" si="224"/>
        <v>12.409999999999973</v>
      </c>
      <c r="T502" s="304">
        <f t="shared" ca="1" si="204"/>
        <v>121.74209999999975</v>
      </c>
      <c r="U502" s="311">
        <f t="shared" ca="1" si="205"/>
        <v>0</v>
      </c>
      <c r="V502" s="306">
        <f t="shared" ca="1" si="206"/>
        <v>1.1472608014042072</v>
      </c>
      <c r="W502" s="304">
        <f t="shared" ca="1" si="207"/>
        <v>114.35329188288841</v>
      </c>
      <c r="Y502" s="314" t="str">
        <f t="shared" ca="1" si="225"/>
        <v/>
      </c>
      <c r="Z502" s="315" t="str">
        <f t="shared" ca="1" si="226"/>
        <v/>
      </c>
      <c r="AA502" s="316" t="str">
        <f t="shared" ca="1" si="227"/>
        <v/>
      </c>
      <c r="AC502" s="310" t="e">
        <f t="shared" ca="1" si="228"/>
        <v>#N/A</v>
      </c>
      <c r="AD502" s="323" t="e">
        <f t="shared" ca="1" si="229"/>
        <v>#N/A</v>
      </c>
      <c r="AE502" s="324">
        <f t="shared" ca="1" si="208"/>
        <v>655.40178845240848</v>
      </c>
      <c r="AG502" s="306">
        <f t="shared" ca="1" si="230"/>
        <v>-18.6990160753104</v>
      </c>
      <c r="AH502" s="304">
        <f t="shared" ca="1" si="231"/>
        <v>-9.2329740044682858</v>
      </c>
    </row>
    <row r="503" spans="1:34" x14ac:dyDescent="0.25">
      <c r="A503" s="347">
        <f t="shared" ca="1" si="209"/>
        <v>0.01</v>
      </c>
      <c r="B503" s="304">
        <f t="shared" ca="1" si="210"/>
        <v>4.989999999999938</v>
      </c>
      <c r="D503" s="306">
        <f t="shared" ca="1" si="211"/>
        <v>-2.4197260513713137</v>
      </c>
      <c r="E503" s="307">
        <f t="shared" ca="1" si="212"/>
        <v>-18.701228049907598</v>
      </c>
      <c r="F503" s="304">
        <f t="shared" ca="1" si="213"/>
        <v>18.857120796620457</v>
      </c>
      <c r="G503" s="306">
        <f t="shared" ca="1" si="214"/>
        <v>54.839174814630411</v>
      </c>
      <c r="H503" s="307">
        <f t="shared" ca="1" si="215"/>
        <v>201.40719398536714</v>
      </c>
      <c r="I503" s="304">
        <f t="shared" ca="1" si="216"/>
        <v>208.73953359009141</v>
      </c>
      <c r="J503" s="306">
        <f t="shared" ca="1" si="217"/>
        <v>162.20935639842074</v>
      </c>
      <c r="K503" s="307">
        <f t="shared" ca="1" si="218"/>
        <v>657.41679545366469</v>
      </c>
      <c r="L503" s="304">
        <f t="shared" ca="1" si="203"/>
        <v>677.13271834091393</v>
      </c>
      <c r="M503" s="306">
        <f t="shared" ca="1" si="219"/>
        <v>1.3049605214796529</v>
      </c>
      <c r="N503" s="304">
        <f t="shared" ca="1" si="220"/>
        <v>74.768730311975119</v>
      </c>
      <c r="P503" s="310">
        <f t="shared" ca="1" si="221"/>
        <v>23</v>
      </c>
      <c r="Q503" s="304">
        <f t="shared" ca="1" si="222"/>
        <v>0</v>
      </c>
      <c r="R503" s="306">
        <f t="shared" ca="1" si="223"/>
        <v>0</v>
      </c>
      <c r="S503" s="307">
        <f t="shared" ca="1" si="224"/>
        <v>12.409999999999973</v>
      </c>
      <c r="T503" s="304">
        <f t="shared" ca="1" si="204"/>
        <v>121.74209999999975</v>
      </c>
      <c r="U503" s="311">
        <f t="shared" ca="1" si="205"/>
        <v>0</v>
      </c>
      <c r="V503" s="306">
        <f t="shared" ca="1" si="206"/>
        <v>1.1470294016037883</v>
      </c>
      <c r="W503" s="304">
        <f t="shared" ca="1" si="207"/>
        <v>114.12587240669241</v>
      </c>
      <c r="Y503" s="314" t="str">
        <f t="shared" ca="1" si="225"/>
        <v/>
      </c>
      <c r="Z503" s="315" t="str">
        <f t="shared" ca="1" si="226"/>
        <v/>
      </c>
      <c r="AA503" s="316" t="str">
        <f t="shared" ca="1" si="227"/>
        <v/>
      </c>
      <c r="AC503" s="310" t="e">
        <f t="shared" ca="1" si="228"/>
        <v>#N/A</v>
      </c>
      <c r="AD503" s="323" t="e">
        <f t="shared" ca="1" si="229"/>
        <v>#N/A</v>
      </c>
      <c r="AE503" s="324">
        <f t="shared" ca="1" si="208"/>
        <v>657.41679545366469</v>
      </c>
      <c r="AG503" s="306">
        <f t="shared" ca="1" si="230"/>
        <v>-18.680333187222715</v>
      </c>
      <c r="AH503" s="304">
        <f t="shared" ca="1" si="231"/>
        <v>-9.2146085320619378</v>
      </c>
    </row>
    <row r="504" spans="1:34" x14ac:dyDescent="0.25">
      <c r="A504" s="347">
        <f t="shared" ca="1" si="209"/>
        <v>0.01</v>
      </c>
      <c r="B504" s="304">
        <f t="shared" ca="1" si="210"/>
        <v>4.9999999999999378</v>
      </c>
      <c r="D504" s="306">
        <f t="shared" ca="1" si="211"/>
        <v>-2.4160089086753582</v>
      </c>
      <c r="E504" s="307">
        <f t="shared" ca="1" si="212"/>
        <v>-18.683247575018829</v>
      </c>
      <c r="F504" s="304">
        <f t="shared" ca="1" si="213"/>
        <v>18.838812037818244</v>
      </c>
      <c r="G504" s="306">
        <f t="shared" ca="1" si="214"/>
        <v>54.815014725543655</v>
      </c>
      <c r="H504" s="307">
        <f t="shared" ca="1" si="215"/>
        <v>201.22036150961696</v>
      </c>
      <c r="I504" s="304">
        <f t="shared" ca="1" si="216"/>
        <v>208.55291828555769</v>
      </c>
      <c r="J504" s="306">
        <f t="shared" ca="1" si="217"/>
        <v>162.75762734612161</v>
      </c>
      <c r="K504" s="307">
        <f t="shared" ca="1" si="218"/>
        <v>659.42993323113956</v>
      </c>
      <c r="L504" s="304">
        <f t="shared" ca="1" si="203"/>
        <v>679.21858197531969</v>
      </c>
      <c r="M504" s="306">
        <f t="shared" ca="1" si="219"/>
        <v>1.3048369441121068</v>
      </c>
      <c r="N504" s="304">
        <f t="shared" ca="1" si="220"/>
        <v>74.761649850371398</v>
      </c>
      <c r="P504" s="310">
        <f t="shared" ca="1" si="221"/>
        <v>23</v>
      </c>
      <c r="Q504" s="304">
        <f t="shared" ca="1" si="222"/>
        <v>0</v>
      </c>
      <c r="R504" s="306">
        <f t="shared" ca="1" si="223"/>
        <v>0</v>
      </c>
      <c r="S504" s="307">
        <f t="shared" ca="1" si="224"/>
        <v>12.409999999999973</v>
      </c>
      <c r="T504" s="304">
        <f t="shared" ca="1" si="204"/>
        <v>121.74209999999975</v>
      </c>
      <c r="U504" s="311">
        <f t="shared" ca="1" si="205"/>
        <v>0</v>
      </c>
      <c r="V504" s="306">
        <f t="shared" ca="1" si="206"/>
        <v>1.1467982615378194</v>
      </c>
      <c r="W504" s="304">
        <f t="shared" ca="1" si="207"/>
        <v>113.89894758033248</v>
      </c>
      <c r="Y504" s="314" t="str">
        <f t="shared" ca="1" si="225"/>
        <v/>
      </c>
      <c r="Z504" s="315" t="str">
        <f t="shared" ca="1" si="226"/>
        <v/>
      </c>
      <c r="AA504" s="316" t="str">
        <f t="shared" ca="1" si="227"/>
        <v/>
      </c>
      <c r="AC504" s="310">
        <f t="shared" ca="1" si="228"/>
        <v>4.9999999999999378</v>
      </c>
      <c r="AD504" s="323">
        <f t="shared" ca="1" si="229"/>
        <v>162.75762734612161</v>
      </c>
      <c r="AE504" s="324">
        <f t="shared" ca="1" si="208"/>
        <v>659.42993323113956</v>
      </c>
      <c r="AG504" s="306">
        <f t="shared" ca="1" si="230"/>
        <v>-18.661689697767539</v>
      </c>
      <c r="AH504" s="304">
        <f t="shared" ca="1" si="231"/>
        <v>-9.1962830303539604</v>
      </c>
    </row>
    <row r="505" spans="1:34" x14ac:dyDescent="0.25">
      <c r="A505" s="347">
        <f t="shared" ca="1" si="209"/>
        <v>0.1</v>
      </c>
      <c r="B505" s="304">
        <f t="shared" ca="1" si="210"/>
        <v>5.0999999999999375</v>
      </c>
      <c r="D505" s="306">
        <f t="shared" ca="1" si="211"/>
        <v>-2.4122993151522421</v>
      </c>
      <c r="E505" s="307">
        <f t="shared" ca="1" si="212"/>
        <v>-18.665306209343019</v>
      </c>
      <c r="F505" s="304">
        <f t="shared" ca="1" si="213"/>
        <v>18.820543134416258</v>
      </c>
      <c r="G505" s="306">
        <f t="shared" ca="1" si="214"/>
        <v>54.573784794028434</v>
      </c>
      <c r="H505" s="307">
        <f t="shared" ca="1" si="215"/>
        <v>199.35383088868267</v>
      </c>
      <c r="I505" s="304">
        <f t="shared" ca="1" si="216"/>
        <v>206.68877056274349</v>
      </c>
      <c r="J505" s="306">
        <f t="shared" ca="1" si="217"/>
        <v>168.22706732210023</v>
      </c>
      <c r="K505" s="307">
        <f t="shared" ca="1" si="218"/>
        <v>679.45864285105449</v>
      </c>
      <c r="L505" s="304">
        <f t="shared" ca="1" si="203"/>
        <v>699.97456634137166</v>
      </c>
      <c r="M505" s="306">
        <f t="shared" ca="1" si="219"/>
        <v>1.3035894586250523</v>
      </c>
      <c r="N505" s="304">
        <f t="shared" ca="1" si="220"/>
        <v>74.690174196959347</v>
      </c>
      <c r="P505" s="310">
        <f t="shared" ca="1" si="221"/>
        <v>23</v>
      </c>
      <c r="Q505" s="304">
        <f t="shared" ca="1" si="222"/>
        <v>0</v>
      </c>
      <c r="R505" s="306">
        <f t="shared" ca="1" si="223"/>
        <v>0</v>
      </c>
      <c r="S505" s="307">
        <f t="shared" ca="1" si="224"/>
        <v>12.409999999999973</v>
      </c>
      <c r="T505" s="304">
        <f t="shared" ca="1" si="204"/>
        <v>121.74209999999975</v>
      </c>
      <c r="U505" s="311">
        <f t="shared" ca="1" si="205"/>
        <v>0</v>
      </c>
      <c r="V505" s="306">
        <f t="shared" ca="1" si="206"/>
        <v>1.1445010999206904</v>
      </c>
      <c r="W505" s="304">
        <f t="shared" ca="1" si="207"/>
        <v>111.64778746226052</v>
      </c>
      <c r="Y505" s="314" t="str">
        <f t="shared" ca="1" si="225"/>
        <v/>
      </c>
      <c r="Z505" s="315" t="str">
        <f t="shared" ca="1" si="226"/>
        <v/>
      </c>
      <c r="AA505" s="316" t="str">
        <f t="shared" ca="1" si="227"/>
        <v/>
      </c>
      <c r="AC505" s="310" t="e">
        <f t="shared" ca="1" si="228"/>
        <v>#N/A</v>
      </c>
      <c r="AD505" s="323" t="e">
        <f t="shared" ca="1" si="229"/>
        <v>#N/A</v>
      </c>
      <c r="AE505" s="324">
        <f t="shared" ca="1" si="208"/>
        <v>679.45864285105449</v>
      </c>
      <c r="AG505" s="306">
        <f t="shared" ca="1" si="230"/>
        <v>-18.643085493968073</v>
      </c>
      <c r="AH505" s="304">
        <f t="shared" ca="1" si="231"/>
        <v>-9.177997387617463</v>
      </c>
    </row>
    <row r="506" spans="1:34" x14ac:dyDescent="0.25">
      <c r="A506" s="347">
        <f t="shared" ca="1" si="209"/>
        <v>0.1</v>
      </c>
      <c r="B506" s="304">
        <f t="shared" ca="1" si="210"/>
        <v>5.1999999999999371</v>
      </c>
      <c r="D506" s="306">
        <f t="shared" ca="1" si="211"/>
        <v>-2.3754480198429286</v>
      </c>
      <c r="E506" s="307">
        <f t="shared" ca="1" si="212"/>
        <v>-18.487328585875183</v>
      </c>
      <c r="F506" s="304">
        <f t="shared" ca="1" si="213"/>
        <v>18.639315211055727</v>
      </c>
      <c r="G506" s="306">
        <f t="shared" ca="1" si="214"/>
        <v>54.336239992044142</v>
      </c>
      <c r="H506" s="307">
        <f t="shared" ca="1" si="215"/>
        <v>197.50509803009516</v>
      </c>
      <c r="I506" s="304">
        <f t="shared" ca="1" si="216"/>
        <v>204.84308805607895</v>
      </c>
      <c r="J506" s="306">
        <f t="shared" ca="1" si="217"/>
        <v>173.67256856140386</v>
      </c>
      <c r="K506" s="307">
        <f t="shared" ca="1" si="218"/>
        <v>699.30158929699337</v>
      </c>
      <c r="L506" s="304">
        <f t="shared" ca="1" si="203"/>
        <v>720.54484514429521</v>
      </c>
      <c r="M506" s="306">
        <f t="shared" ca="1" si="219"/>
        <v>1.3023249697848776</v>
      </c>
      <c r="N506" s="304">
        <f t="shared" ca="1" si="220"/>
        <v>74.617724323175949</v>
      </c>
      <c r="P506" s="310">
        <f t="shared" ca="1" si="221"/>
        <v>23</v>
      </c>
      <c r="Q506" s="304">
        <f t="shared" ca="1" si="222"/>
        <v>0</v>
      </c>
      <c r="R506" s="306">
        <f t="shared" ca="1" si="223"/>
        <v>0</v>
      </c>
      <c r="S506" s="307">
        <f t="shared" ca="1" si="224"/>
        <v>12.409999999999973</v>
      </c>
      <c r="T506" s="304">
        <f t="shared" ca="1" si="204"/>
        <v>121.74209999999975</v>
      </c>
      <c r="U506" s="311">
        <f t="shared" ca="1" si="205"/>
        <v>0</v>
      </c>
      <c r="V506" s="306">
        <f t="shared" ca="1" si="206"/>
        <v>1.142229627947277</v>
      </c>
      <c r="W506" s="304">
        <f t="shared" ca="1" si="207"/>
        <v>109.44506721163346</v>
      </c>
      <c r="Y506" s="314" t="str">
        <f t="shared" ca="1" si="225"/>
        <v/>
      </c>
      <c r="Z506" s="315" t="str">
        <f t="shared" ca="1" si="226"/>
        <v/>
      </c>
      <c r="AA506" s="316" t="str">
        <f t="shared" ca="1" si="227"/>
        <v/>
      </c>
      <c r="AC506" s="310" t="e">
        <f t="shared" ca="1" si="228"/>
        <v>#N/A</v>
      </c>
      <c r="AD506" s="323" t="e">
        <f t="shared" ca="1" si="229"/>
        <v>#N/A</v>
      </c>
      <c r="AE506" s="324">
        <f t="shared" ca="1" si="208"/>
        <v>699.30158929699337</v>
      </c>
      <c r="AG506" s="306">
        <f t="shared" ca="1" si="230"/>
        <v>-18.458462717297117</v>
      </c>
      <c r="AH506" s="304">
        <f t="shared" ca="1" si="231"/>
        <v>-8.9965985062256859</v>
      </c>
    </row>
    <row r="507" spans="1:34" x14ac:dyDescent="0.25">
      <c r="A507" s="347">
        <f t="shared" ca="1" si="209"/>
        <v>0.1</v>
      </c>
      <c r="B507" s="304">
        <f t="shared" ca="1" si="210"/>
        <v>5.2999999999999368</v>
      </c>
      <c r="D507" s="306">
        <f t="shared" ca="1" si="211"/>
        <v>-2.3393364023712122</v>
      </c>
      <c r="E507" s="307">
        <f t="shared" ca="1" si="212"/>
        <v>-18.313180668065115</v>
      </c>
      <c r="F507" s="304">
        <f t="shared" ca="1" si="213"/>
        <v>18.461990168577518</v>
      </c>
      <c r="G507" s="306">
        <f t="shared" ca="1" si="214"/>
        <v>54.102306351807023</v>
      </c>
      <c r="H507" s="307">
        <f t="shared" ca="1" si="215"/>
        <v>195.67377996328864</v>
      </c>
      <c r="I507" s="304">
        <f t="shared" ca="1" si="216"/>
        <v>203.01548639871362</v>
      </c>
      <c r="J507" s="306">
        <f t="shared" ca="1" si="217"/>
        <v>179.09449587859643</v>
      </c>
      <c r="K507" s="307">
        <f t="shared" ca="1" si="218"/>
        <v>718.9605331966626</v>
      </c>
      <c r="L507" s="304">
        <f t="shared" ca="1" si="203"/>
        <v>740.93122943255537</v>
      </c>
      <c r="M507" s="306">
        <f t="shared" ca="1" si="219"/>
        <v>1.3010432053222314</v>
      </c>
      <c r="N507" s="304">
        <f t="shared" ca="1" si="220"/>
        <v>74.54428462913647</v>
      </c>
      <c r="P507" s="310">
        <f t="shared" ca="1" si="221"/>
        <v>23</v>
      </c>
      <c r="Q507" s="304">
        <f t="shared" ca="1" si="222"/>
        <v>0</v>
      </c>
      <c r="R507" s="306">
        <f t="shared" ca="1" si="223"/>
        <v>0</v>
      </c>
      <c r="S507" s="307">
        <f t="shared" ca="1" si="224"/>
        <v>12.409999999999973</v>
      </c>
      <c r="T507" s="304">
        <f t="shared" ca="1" si="204"/>
        <v>121.74209999999975</v>
      </c>
      <c r="U507" s="311">
        <f t="shared" ca="1" si="205"/>
        <v>0</v>
      </c>
      <c r="V507" s="306">
        <f t="shared" ca="1" si="206"/>
        <v>1.1399835097417383</v>
      </c>
      <c r="W507" s="304">
        <f t="shared" ca="1" si="207"/>
        <v>107.28945712062202</v>
      </c>
      <c r="Y507" s="314" t="str">
        <f t="shared" ca="1" si="225"/>
        <v/>
      </c>
      <c r="Z507" s="315" t="str">
        <f t="shared" ca="1" si="226"/>
        <v/>
      </c>
      <c r="AA507" s="316" t="str">
        <f t="shared" ca="1" si="227"/>
        <v/>
      </c>
      <c r="AC507" s="310" t="e">
        <f t="shared" ca="1" si="228"/>
        <v>#N/A</v>
      </c>
      <c r="AD507" s="323" t="e">
        <f t="shared" ca="1" si="229"/>
        <v>#N/A</v>
      </c>
      <c r="AE507" s="324">
        <f t="shared" ca="1" si="208"/>
        <v>718.9605331966626</v>
      </c>
      <c r="AG507" s="306">
        <f t="shared" ca="1" si="230"/>
        <v>-18.277684264579229</v>
      </c>
      <c r="AH507" s="304">
        <f t="shared" ca="1" si="231"/>
        <v>-8.8191029179398619</v>
      </c>
    </row>
    <row r="508" spans="1:34" x14ac:dyDescent="0.25">
      <c r="A508" s="347">
        <f t="shared" ca="1" si="209"/>
        <v>0.1</v>
      </c>
      <c r="B508" s="304">
        <f t="shared" ca="1" si="210"/>
        <v>5.3999999999999364</v>
      </c>
      <c r="D508" s="306">
        <f t="shared" ca="1" si="211"/>
        <v>-2.3039437809331349</v>
      </c>
      <c r="E508" s="307">
        <f t="shared" ca="1" si="212"/>
        <v>-18.142757304403531</v>
      </c>
      <c r="F508" s="304">
        <f t="shared" ca="1" si="213"/>
        <v>18.28846083059447</v>
      </c>
      <c r="G508" s="306">
        <f t="shared" ca="1" si="214"/>
        <v>53.871911973713708</v>
      </c>
      <c r="H508" s="307">
        <f t="shared" ca="1" si="215"/>
        <v>193.85950423284828</v>
      </c>
      <c r="I508" s="304">
        <f t="shared" ca="1" si="216"/>
        <v>201.20559207216203</v>
      </c>
      <c r="J508" s="306">
        <f t="shared" ca="1" si="217"/>
        <v>184.49320679487246</v>
      </c>
      <c r="K508" s="307">
        <f t="shared" ca="1" si="218"/>
        <v>738.43719740646941</v>
      </c>
      <c r="L508" s="304">
        <f t="shared" ca="1" si="203"/>
        <v>761.13549244991634</v>
      </c>
      <c r="M508" s="306">
        <f t="shared" ca="1" si="219"/>
        <v>1.2997438866069833</v>
      </c>
      <c r="N508" s="304">
        <f t="shared" ca="1" si="220"/>
        <v>74.469839150510381</v>
      </c>
      <c r="P508" s="310">
        <f t="shared" ca="1" si="221"/>
        <v>23</v>
      </c>
      <c r="Q508" s="304">
        <f t="shared" ca="1" si="222"/>
        <v>0</v>
      </c>
      <c r="R508" s="306">
        <f t="shared" ca="1" si="223"/>
        <v>0</v>
      </c>
      <c r="S508" s="307">
        <f t="shared" ca="1" si="224"/>
        <v>12.409999999999973</v>
      </c>
      <c r="T508" s="304">
        <f t="shared" ca="1" si="204"/>
        <v>121.74209999999975</v>
      </c>
      <c r="U508" s="311">
        <f t="shared" ca="1" si="205"/>
        <v>0</v>
      </c>
      <c r="V508" s="306">
        <f t="shared" ca="1" si="206"/>
        <v>1.1377624171279357</v>
      </c>
      <c r="W508" s="304">
        <f t="shared" ca="1" si="207"/>
        <v>105.17967396939029</v>
      </c>
      <c r="Y508" s="314" t="str">
        <f t="shared" ca="1" si="225"/>
        <v/>
      </c>
      <c r="Z508" s="315" t="str">
        <f t="shared" ca="1" si="226"/>
        <v/>
      </c>
      <c r="AA508" s="316" t="str">
        <f t="shared" ca="1" si="227"/>
        <v/>
      </c>
      <c r="AC508" s="310" t="e">
        <f t="shared" ca="1" si="228"/>
        <v>#N/A</v>
      </c>
      <c r="AD508" s="323" t="e">
        <f t="shared" ca="1" si="229"/>
        <v>#N/A</v>
      </c>
      <c r="AE508" s="324">
        <f t="shared" ca="1" si="208"/>
        <v>738.43719740646941</v>
      </c>
      <c r="AG508" s="306">
        <f t="shared" ca="1" si="230"/>
        <v>-18.10064167097882</v>
      </c>
      <c r="AH508" s="304">
        <f t="shared" ca="1" si="231"/>
        <v>-8.6454034746673845</v>
      </c>
    </row>
    <row r="509" spans="1:34" x14ac:dyDescent="0.25">
      <c r="A509" s="347">
        <f t="shared" ca="1" si="209"/>
        <v>0.1</v>
      </c>
      <c r="B509" s="304">
        <f t="shared" ca="1" si="210"/>
        <v>5.4999999999999361</v>
      </c>
      <c r="D509" s="306">
        <f t="shared" ca="1" si="211"/>
        <v>-2.2692501946220998</v>
      </c>
      <c r="E509" s="307">
        <f t="shared" ca="1" si="212"/>
        <v>-17.975957019019251</v>
      </c>
      <c r="F509" s="304">
        <f t="shared" ca="1" si="213"/>
        <v>18.118623766594965</v>
      </c>
      <c r="G509" s="306">
        <f t="shared" ca="1" si="214"/>
        <v>53.6449869542515</v>
      </c>
      <c r="H509" s="307">
        <f t="shared" ca="1" si="215"/>
        <v>192.06190853094637</v>
      </c>
      <c r="I509" s="304">
        <f t="shared" ca="1" si="216"/>
        <v>199.41304203554847</v>
      </c>
      <c r="J509" s="306">
        <f t="shared" ca="1" si="217"/>
        <v>189.86905174127071</v>
      </c>
      <c r="K509" s="307">
        <f t="shared" ca="1" si="218"/>
        <v>757.7332680446591</v>
      </c>
      <c r="L509" s="304">
        <f t="shared" ca="1" si="203"/>
        <v>781.15937062213402</v>
      </c>
      <c r="M509" s="306">
        <f t="shared" ca="1" si="219"/>
        <v>1.2984267284769448</v>
      </c>
      <c r="N509" s="304">
        <f t="shared" ca="1" si="220"/>
        <v>74.394371548707838</v>
      </c>
      <c r="P509" s="310">
        <f t="shared" ca="1" si="221"/>
        <v>23</v>
      </c>
      <c r="Q509" s="304">
        <f t="shared" ca="1" si="222"/>
        <v>0</v>
      </c>
      <c r="R509" s="306">
        <f t="shared" ca="1" si="223"/>
        <v>0</v>
      </c>
      <c r="S509" s="307">
        <f t="shared" ca="1" si="224"/>
        <v>12.409999999999973</v>
      </c>
      <c r="T509" s="304">
        <f t="shared" ca="1" si="204"/>
        <v>121.74209999999975</v>
      </c>
      <c r="U509" s="311">
        <f t="shared" ca="1" si="205"/>
        <v>0</v>
      </c>
      <c r="V509" s="306">
        <f t="shared" ca="1" si="206"/>
        <v>1.1355660294051804</v>
      </c>
      <c r="W509" s="304">
        <f t="shared" ca="1" si="207"/>
        <v>103.1144790834926</v>
      </c>
      <c r="Y509" s="314" t="str">
        <f t="shared" ca="1" si="225"/>
        <v/>
      </c>
      <c r="Z509" s="315" t="str">
        <f t="shared" ca="1" si="226"/>
        <v/>
      </c>
      <c r="AA509" s="316" t="str">
        <f t="shared" ca="1" si="227"/>
        <v/>
      </c>
      <c r="AC509" s="310" t="e">
        <f t="shared" ca="1" si="228"/>
        <v>#N/A</v>
      </c>
      <c r="AD509" s="323" t="e">
        <f t="shared" ca="1" si="229"/>
        <v>#N/A</v>
      </c>
      <c r="AE509" s="324">
        <f t="shared" ca="1" si="208"/>
        <v>757.7332680446591</v>
      </c>
      <c r="AG509" s="306">
        <f t="shared" ca="1" si="230"/>
        <v>-17.927230179842169</v>
      </c>
      <c r="AH509" s="304">
        <f t="shared" ca="1" si="231"/>
        <v>-8.4753967743263914</v>
      </c>
    </row>
    <row r="510" spans="1:34" x14ac:dyDescent="0.25">
      <c r="A510" s="347">
        <f t="shared" ca="1" si="209"/>
        <v>0.1</v>
      </c>
      <c r="B510" s="304">
        <f t="shared" ca="1" si="210"/>
        <v>5.5999999999999357</v>
      </c>
      <c r="D510" s="306">
        <f t="shared" ca="1" si="211"/>
        <v>-2.2352363733053777</v>
      </c>
      <c r="E510" s="307">
        <f t="shared" ca="1" si="212"/>
        <v>-17.812681858063129</v>
      </c>
      <c r="F510" s="304">
        <f t="shared" ca="1" si="213"/>
        <v>17.952379135399262</v>
      </c>
      <c r="G510" s="306">
        <f t="shared" ca="1" si="214"/>
        <v>53.421463316920963</v>
      </c>
      <c r="H510" s="307">
        <f t="shared" ca="1" si="215"/>
        <v>190.28064034514006</v>
      </c>
      <c r="I510" s="304">
        <f t="shared" ca="1" si="216"/>
        <v>197.63748337063413</v>
      </c>
      <c r="J510" s="306">
        <f t="shared" ca="1" si="217"/>
        <v>195.22237425482933</v>
      </c>
      <c r="K510" s="307">
        <f t="shared" ca="1" si="218"/>
        <v>776.85039548846339</v>
      </c>
      <c r="L510" s="304">
        <f t="shared" ca="1" si="203"/>
        <v>801.00456451900118</v>
      </c>
      <c r="M510" s="306">
        <f t="shared" ca="1" si="219"/>
        <v>1.2970914390609654</v>
      </c>
      <c r="N510" s="304">
        <f t="shared" ca="1" si="220"/>
        <v>74.317865100743731</v>
      </c>
      <c r="P510" s="310">
        <f t="shared" ca="1" si="221"/>
        <v>23</v>
      </c>
      <c r="Q510" s="304">
        <f t="shared" ca="1" si="222"/>
        <v>0</v>
      </c>
      <c r="R510" s="306">
        <f t="shared" ca="1" si="223"/>
        <v>0</v>
      </c>
      <c r="S510" s="307">
        <f t="shared" ca="1" si="224"/>
        <v>12.409999999999973</v>
      </c>
      <c r="T510" s="304">
        <f t="shared" ca="1" si="204"/>
        <v>121.74209999999975</v>
      </c>
      <c r="U510" s="311">
        <f t="shared" ca="1" si="205"/>
        <v>0</v>
      </c>
      <c r="V510" s="306">
        <f t="shared" ca="1" si="206"/>
        <v>1.1333940331321819</v>
      </c>
      <c r="W510" s="304">
        <f t="shared" ca="1" si="207"/>
        <v>101.09267648595403</v>
      </c>
      <c r="Y510" s="314" t="str">
        <f t="shared" ca="1" si="225"/>
        <v/>
      </c>
      <c r="Z510" s="315" t="str">
        <f t="shared" ca="1" si="226"/>
        <v/>
      </c>
      <c r="AA510" s="316" t="str">
        <f t="shared" ca="1" si="227"/>
        <v/>
      </c>
      <c r="AC510" s="310" t="e">
        <f t="shared" ca="1" si="228"/>
        <v>#N/A</v>
      </c>
      <c r="AD510" s="323" t="e">
        <f t="shared" ca="1" si="229"/>
        <v>#N/A</v>
      </c>
      <c r="AE510" s="324">
        <f t="shared" ca="1" si="208"/>
        <v>776.85039548846339</v>
      </c>
      <c r="AG510" s="306">
        <f t="shared" ca="1" si="230"/>
        <v>-17.757348584896253</v>
      </c>
      <c r="AH510" s="304">
        <f t="shared" ca="1" si="231"/>
        <v>-8.3089830043104609</v>
      </c>
    </row>
    <row r="511" spans="1:34" x14ac:dyDescent="0.25">
      <c r="A511" s="347">
        <f t="shared" ca="1" si="209"/>
        <v>0.1</v>
      </c>
      <c r="B511" s="304">
        <f t="shared" ca="1" si="210"/>
        <v>5.6999999999999353</v>
      </c>
      <c r="D511" s="306">
        <f t="shared" ca="1" si="211"/>
        <v>-2.2018837089703314</v>
      </c>
      <c r="E511" s="307">
        <f t="shared" ca="1" si="212"/>
        <v>-17.652837243578432</v>
      </c>
      <c r="F511" s="304">
        <f t="shared" ca="1" si="213"/>
        <v>17.789630536244946</v>
      </c>
      <c r="G511" s="306">
        <f t="shared" ca="1" si="214"/>
        <v>53.201274946023929</v>
      </c>
      <c r="H511" s="307">
        <f t="shared" ca="1" si="215"/>
        <v>188.5153566207822</v>
      </c>
      <c r="I511" s="304">
        <f t="shared" ca="1" si="216"/>
        <v>195.87857294186907</v>
      </c>
      <c r="J511" s="306">
        <f t="shared" ca="1" si="217"/>
        <v>200.55351116797658</v>
      </c>
      <c r="K511" s="307">
        <f t="shared" ca="1" si="218"/>
        <v>795.79019533675955</v>
      </c>
      <c r="L511" s="304">
        <f t="shared" ca="1" si="203"/>
        <v>820.67273979091181</v>
      </c>
      <c r="M511" s="306">
        <f t="shared" ca="1" si="219"/>
        <v>1.2957377195961981</v>
      </c>
      <c r="N511" s="304">
        <f t="shared" ca="1" si="220"/>
        <v>74.240302688767855</v>
      </c>
      <c r="P511" s="310">
        <f t="shared" ca="1" si="221"/>
        <v>23</v>
      </c>
      <c r="Q511" s="304">
        <f t="shared" ca="1" si="222"/>
        <v>0</v>
      </c>
      <c r="R511" s="306">
        <f t="shared" ca="1" si="223"/>
        <v>0</v>
      </c>
      <c r="S511" s="307">
        <f t="shared" ca="1" si="224"/>
        <v>12.409999999999973</v>
      </c>
      <c r="T511" s="304">
        <f t="shared" ca="1" si="204"/>
        <v>121.74209999999975</v>
      </c>
      <c r="U511" s="311">
        <f t="shared" ca="1" si="205"/>
        <v>0</v>
      </c>
      <c r="V511" s="306">
        <f t="shared" ca="1" si="206"/>
        <v>1.1312461219188366</v>
      </c>
      <c r="W511" s="304">
        <f t="shared" ca="1" si="207"/>
        <v>99.113111138778066</v>
      </c>
      <c r="Y511" s="314" t="str">
        <f t="shared" ca="1" si="225"/>
        <v/>
      </c>
      <c r="Z511" s="315" t="str">
        <f t="shared" ca="1" si="226"/>
        <v/>
      </c>
      <c r="AA511" s="316" t="str">
        <f t="shared" ca="1" si="227"/>
        <v/>
      </c>
      <c r="AC511" s="310" t="e">
        <f t="shared" ca="1" si="228"/>
        <v>#N/A</v>
      </c>
      <c r="AD511" s="323" t="e">
        <f t="shared" ca="1" si="229"/>
        <v>#N/A</v>
      </c>
      <c r="AE511" s="324">
        <f t="shared" ca="1" si="208"/>
        <v>795.79019533675955</v>
      </c>
      <c r="AG511" s="306">
        <f t="shared" ca="1" si="230"/>
        <v>-17.590899080027945</v>
      </c>
      <c r="AH511" s="304">
        <f t="shared" ca="1" si="231"/>
        <v>-8.1460657925829363</v>
      </c>
    </row>
    <row r="512" spans="1:34" x14ac:dyDescent="0.25">
      <c r="A512" s="347">
        <f t="shared" ca="1" si="209"/>
        <v>0.1</v>
      </c>
      <c r="B512" s="304">
        <f t="shared" ca="1" si="210"/>
        <v>5.799999999999935</v>
      </c>
      <c r="D512" s="306">
        <f t="shared" ca="1" si="211"/>
        <v>-2.1691742284588202</v>
      </c>
      <c r="E512" s="307">
        <f t="shared" ca="1" si="212"/>
        <v>-17.496331834441989</v>
      </c>
      <c r="F512" s="304">
        <f t="shared" ca="1" si="213"/>
        <v>17.630284867077961</v>
      </c>
      <c r="G512" s="306">
        <f t="shared" ca="1" si="214"/>
        <v>52.984357523178048</v>
      </c>
      <c r="H512" s="307">
        <f t="shared" ca="1" si="215"/>
        <v>186.76572343733801</v>
      </c>
      <c r="I512" s="304">
        <f t="shared" ca="1" si="216"/>
        <v>194.13597707075363</v>
      </c>
      <c r="J512" s="306">
        <f t="shared" ca="1" si="217"/>
        <v>205.86279279143668</v>
      </c>
      <c r="K512" s="307">
        <f t="shared" ca="1" si="218"/>
        <v>814.5542493396656</v>
      </c>
      <c r="L512" s="304">
        <f t="shared" ca="1" si="203"/>
        <v>840.16552807955418</v>
      </c>
      <c r="M512" s="306">
        <f t="shared" ca="1" si="219"/>
        <v>1.2943652642393269</v>
      </c>
      <c r="N512" s="304">
        <f t="shared" ca="1" si="220"/>
        <v>74.161666789249011</v>
      </c>
      <c r="P512" s="310">
        <f t="shared" ca="1" si="221"/>
        <v>23</v>
      </c>
      <c r="Q512" s="304">
        <f t="shared" ca="1" si="222"/>
        <v>0</v>
      </c>
      <c r="R512" s="306">
        <f t="shared" ca="1" si="223"/>
        <v>0</v>
      </c>
      <c r="S512" s="307">
        <f t="shared" ca="1" si="224"/>
        <v>12.409999999999973</v>
      </c>
      <c r="T512" s="304">
        <f t="shared" ca="1" si="204"/>
        <v>121.74209999999975</v>
      </c>
      <c r="U512" s="311">
        <f t="shared" ca="1" si="205"/>
        <v>0</v>
      </c>
      <c r="V512" s="306">
        <f t="shared" ca="1" si="206"/>
        <v>1.1291219962255263</v>
      </c>
      <c r="W512" s="304">
        <f t="shared" ca="1" si="207"/>
        <v>97.174667268952732</v>
      </c>
      <c r="Y512" s="314" t="str">
        <f t="shared" ca="1" si="225"/>
        <v/>
      </c>
      <c r="Z512" s="315" t="str">
        <f t="shared" ca="1" si="226"/>
        <v/>
      </c>
      <c r="AA512" s="316" t="str">
        <f t="shared" ca="1" si="227"/>
        <v/>
      </c>
      <c r="AC512" s="310" t="e">
        <f t="shared" ca="1" si="228"/>
        <v>#N/A</v>
      </c>
      <c r="AD512" s="323" t="e">
        <f t="shared" ca="1" si="229"/>
        <v>#N/A</v>
      </c>
      <c r="AE512" s="324">
        <f t="shared" ca="1" si="208"/>
        <v>814.5542493396656</v>
      </c>
      <c r="AG512" s="306">
        <f t="shared" ca="1" si="230"/>
        <v>-17.427787116217843</v>
      </c>
      <c r="AH512" s="304">
        <f t="shared" ca="1" si="231"/>
        <v>-7.9865520659772988</v>
      </c>
    </row>
    <row r="513" spans="1:34" x14ac:dyDescent="0.25">
      <c r="A513" s="347">
        <f t="shared" ca="1" si="209"/>
        <v>0.1</v>
      </c>
      <c r="B513" s="304">
        <f t="shared" ca="1" si="210"/>
        <v>5.8999999999999346</v>
      </c>
      <c r="D513" s="306">
        <f t="shared" ca="1" si="211"/>
        <v>-2.1370905675133649</v>
      </c>
      <c r="E513" s="307">
        <f t="shared" ca="1" si="212"/>
        <v>-17.343077393986384</v>
      </c>
      <c r="F513" s="304">
        <f t="shared" ca="1" si="213"/>
        <v>17.474252189651956</v>
      </c>
      <c r="G513" s="306">
        <f t="shared" ca="1" si="214"/>
        <v>52.770648466426714</v>
      </c>
      <c r="H513" s="307">
        <f t="shared" ca="1" si="215"/>
        <v>185.03141569793937</v>
      </c>
      <c r="I513" s="304">
        <f t="shared" ca="1" si="216"/>
        <v>192.40937122383312</v>
      </c>
      <c r="J513" s="306">
        <f t="shared" ca="1" si="217"/>
        <v>211.15054309091693</v>
      </c>
      <c r="K513" s="307">
        <f t="shared" ca="1" si="218"/>
        <v>833.14410629642953</v>
      </c>
      <c r="L513" s="304">
        <f t="shared" ca="1" si="203"/>
        <v>859.48452790266413</v>
      </c>
      <c r="M513" s="306">
        <f t="shared" ca="1" si="219"/>
        <v>1.292973759871529</v>
      </c>
      <c r="N513" s="304">
        <f t="shared" ca="1" si="220"/>
        <v>74.081939461800175</v>
      </c>
      <c r="P513" s="310">
        <f t="shared" ca="1" si="221"/>
        <v>23</v>
      </c>
      <c r="Q513" s="304">
        <f t="shared" ca="1" si="222"/>
        <v>0</v>
      </c>
      <c r="R513" s="306">
        <f t="shared" ca="1" si="223"/>
        <v>0</v>
      </c>
      <c r="S513" s="307">
        <f t="shared" ca="1" si="224"/>
        <v>12.409999999999973</v>
      </c>
      <c r="T513" s="304">
        <f t="shared" ca="1" si="204"/>
        <v>121.74209999999975</v>
      </c>
      <c r="U513" s="311">
        <f t="shared" ca="1" si="205"/>
        <v>0</v>
      </c>
      <c r="V513" s="306">
        <f t="shared" ca="1" si="206"/>
        <v>1.127021363169598</v>
      </c>
      <c r="W513" s="304">
        <f t="shared" ca="1" si="207"/>
        <v>95.276266774328718</v>
      </c>
      <c r="Y513" s="314" t="str">
        <f t="shared" ca="1" si="225"/>
        <v/>
      </c>
      <c r="Z513" s="315" t="str">
        <f t="shared" ca="1" si="226"/>
        <v/>
      </c>
      <c r="AA513" s="316" t="str">
        <f t="shared" ca="1" si="227"/>
        <v/>
      </c>
      <c r="AC513" s="310" t="e">
        <f t="shared" ca="1" si="228"/>
        <v>#N/A</v>
      </c>
      <c r="AD513" s="323" t="e">
        <f t="shared" ca="1" si="229"/>
        <v>#N/A</v>
      </c>
      <c r="AE513" s="324">
        <f t="shared" ca="1" si="208"/>
        <v>833.14410629642953</v>
      </c>
      <c r="AG513" s="306">
        <f t="shared" ca="1" si="230"/>
        <v>-17.267921265229376</v>
      </c>
      <c r="AH513" s="304">
        <f t="shared" ca="1" si="231"/>
        <v>-7.8303519153064416</v>
      </c>
    </row>
    <row r="514" spans="1:34" x14ac:dyDescent="0.25">
      <c r="A514" s="347">
        <f t="shared" ca="1" si="209"/>
        <v>0.1</v>
      </c>
      <c r="B514" s="304">
        <f t="shared" ca="1" si="210"/>
        <v>5.9999999999999343</v>
      </c>
      <c r="D514" s="306">
        <f t="shared" ca="1" si="211"/>
        <v>-2.1056159460633146</v>
      </c>
      <c r="E514" s="307">
        <f t="shared" ca="1" si="212"/>
        <v>-17.192988663937342</v>
      </c>
      <c r="F514" s="304">
        <f t="shared" ca="1" si="213"/>
        <v>17.321445601063271</v>
      </c>
      <c r="G514" s="306">
        <f t="shared" ca="1" si="214"/>
        <v>52.560086871820381</v>
      </c>
      <c r="H514" s="307">
        <f t="shared" ca="1" si="215"/>
        <v>183.31211683154564</v>
      </c>
      <c r="I514" s="304">
        <f t="shared" ca="1" si="216"/>
        <v>190.69843971368917</v>
      </c>
      <c r="J514" s="306">
        <f t="shared" ca="1" si="217"/>
        <v>216.41707985782929</v>
      </c>
      <c r="K514" s="307">
        <f t="shared" ca="1" si="218"/>
        <v>851.56128292290373</v>
      </c>
      <c r="L514" s="304">
        <f t="shared" ca="1" si="203"/>
        <v>878.63130551300742</v>
      </c>
      <c r="M514" s="306">
        <f t="shared" ca="1" si="219"/>
        <v>1.2915628858969463</v>
      </c>
      <c r="N514" s="304">
        <f t="shared" ca="1" si="220"/>
        <v>74.001102337631735</v>
      </c>
      <c r="P514" s="310">
        <f t="shared" ca="1" si="221"/>
        <v>23</v>
      </c>
      <c r="Q514" s="304">
        <f t="shared" ca="1" si="222"/>
        <v>0</v>
      </c>
      <c r="R514" s="306">
        <f t="shared" ca="1" si="223"/>
        <v>0</v>
      </c>
      <c r="S514" s="307">
        <f t="shared" ca="1" si="224"/>
        <v>12.409999999999973</v>
      </c>
      <c r="T514" s="304">
        <f t="shared" ca="1" si="204"/>
        <v>121.74209999999975</v>
      </c>
      <c r="U514" s="311">
        <f t="shared" ca="1" si="205"/>
        <v>0</v>
      </c>
      <c r="V514" s="306">
        <f t="shared" ca="1" si="206"/>
        <v>1.124943936338725</v>
      </c>
      <c r="W514" s="304">
        <f t="shared" ca="1" si="207"/>
        <v>93.416867705030683</v>
      </c>
      <c r="Y514" s="314" t="str">
        <f t="shared" ca="1" si="225"/>
        <v/>
      </c>
      <c r="Z514" s="315" t="str">
        <f t="shared" ca="1" si="226"/>
        <v/>
      </c>
      <c r="AA514" s="316" t="str">
        <f t="shared" ca="1" si="227"/>
        <v/>
      </c>
      <c r="AC514" s="310">
        <f t="shared" ca="1" si="228"/>
        <v>5.9999999999999343</v>
      </c>
      <c r="AD514" s="323">
        <f t="shared" ca="1" si="229"/>
        <v>216.41707985782929</v>
      </c>
      <c r="AE514" s="324">
        <f t="shared" ca="1" si="208"/>
        <v>851.56128292290373</v>
      </c>
      <c r="AG514" s="306">
        <f t="shared" ca="1" si="230"/>
        <v>-17.11121308967796</v>
      </c>
      <c r="AH514" s="304">
        <f t="shared" ca="1" si="231"/>
        <v>-7.6773784669080518</v>
      </c>
    </row>
    <row r="515" spans="1:34" x14ac:dyDescent="0.25">
      <c r="A515" s="347">
        <f t="shared" ca="1" si="209"/>
        <v>0.1</v>
      </c>
      <c r="B515" s="304">
        <f t="shared" ca="1" si="210"/>
        <v>6.0999999999999339</v>
      </c>
      <c r="D515" s="306">
        <f t="shared" ca="1" si="211"/>
        <v>-2.0747341446837564</v>
      </c>
      <c r="E515" s="307">
        <f t="shared" ca="1" si="212"/>
        <v>-17.045983244323228</v>
      </c>
      <c r="F515" s="304">
        <f t="shared" ca="1" si="213"/>
        <v>17.171781111371786</v>
      </c>
      <c r="G515" s="306">
        <f t="shared" ca="1" si="214"/>
        <v>52.352613457352007</v>
      </c>
      <c r="H515" s="307">
        <f t="shared" ca="1" si="215"/>
        <v>181.60751850711333</v>
      </c>
      <c r="I515" s="304">
        <f t="shared" ca="1" si="216"/>
        <v>189.00287541232387</v>
      </c>
      <c r="J515" s="306">
        <f t="shared" ca="1" si="217"/>
        <v>221.6627148742879</v>
      </c>
      <c r="K515" s="307">
        <f t="shared" ca="1" si="218"/>
        <v>869.80726468983664</v>
      </c>
      <c r="L515" s="304">
        <f t="shared" ca="1" si="203"/>
        <v>897.60739573192882</v>
      </c>
      <c r="M515" s="306">
        <f t="shared" ca="1" si="219"/>
        <v>1.2901323140344247</v>
      </c>
      <c r="N515" s="304">
        <f t="shared" ca="1" si="220"/>
        <v>73.91913660761908</v>
      </c>
      <c r="P515" s="310">
        <f t="shared" ca="1" si="221"/>
        <v>23</v>
      </c>
      <c r="Q515" s="304">
        <f t="shared" ca="1" si="222"/>
        <v>0</v>
      </c>
      <c r="R515" s="306">
        <f t="shared" ca="1" si="223"/>
        <v>0</v>
      </c>
      <c r="S515" s="307">
        <f t="shared" ca="1" si="224"/>
        <v>12.409999999999973</v>
      </c>
      <c r="T515" s="304">
        <f t="shared" ca="1" si="204"/>
        <v>121.74209999999975</v>
      </c>
      <c r="U515" s="311">
        <f t="shared" ca="1" si="205"/>
        <v>0</v>
      </c>
      <c r="V515" s="306">
        <f t="shared" ca="1" si="206"/>
        <v>1.1228894356108579</v>
      </c>
      <c r="W515" s="304">
        <f t="shared" ca="1" si="207"/>
        <v>91.595462816323291</v>
      </c>
      <c r="Y515" s="314" t="str">
        <f t="shared" ca="1" si="225"/>
        <v/>
      </c>
      <c r="Z515" s="315" t="str">
        <f t="shared" ca="1" si="226"/>
        <v/>
      </c>
      <c r="AA515" s="316" t="str">
        <f t="shared" ca="1" si="227"/>
        <v/>
      </c>
      <c r="AC515" s="310" t="e">
        <f t="shared" ca="1" si="228"/>
        <v>#N/A</v>
      </c>
      <c r="AD515" s="323" t="e">
        <f t="shared" ca="1" si="229"/>
        <v>#N/A</v>
      </c>
      <c r="AE515" s="324">
        <f t="shared" ca="1" si="208"/>
        <v>869.80726468983664</v>
      </c>
      <c r="AG515" s="306">
        <f t="shared" ca="1" si="230"/>
        <v>-16.957577019128195</v>
      </c>
      <c r="AH515" s="304">
        <f t="shared" ca="1" si="231"/>
        <v>-7.5275477602764607</v>
      </c>
    </row>
    <row r="516" spans="1:34" x14ac:dyDescent="0.25">
      <c r="A516" s="347">
        <f t="shared" ca="1" si="209"/>
        <v>0.1</v>
      </c>
      <c r="B516" s="304">
        <f t="shared" ca="1" si="210"/>
        <v>6.1999999999999336</v>
      </c>
      <c r="D516" s="306">
        <f t="shared" ca="1" si="211"/>
        <v>-2.044429482163912</v>
      </c>
      <c r="E516" s="307">
        <f t="shared" ca="1" si="212"/>
        <v>-16.901981479034081</v>
      </c>
      <c r="F516" s="304">
        <f t="shared" ca="1" si="213"/>
        <v>17.025177526979039</v>
      </c>
      <c r="G516" s="306">
        <f t="shared" ca="1" si="214"/>
        <v>52.148170509135618</v>
      </c>
      <c r="H516" s="307">
        <f t="shared" ca="1" si="215"/>
        <v>179.91732035920992</v>
      </c>
      <c r="I516" s="304">
        <f t="shared" ca="1" si="216"/>
        <v>187.32237947636813</v>
      </c>
      <c r="J516" s="306">
        <f t="shared" ca="1" si="217"/>
        <v>226.88775407261227</v>
      </c>
      <c r="K516" s="307">
        <f t="shared" ca="1" si="218"/>
        <v>887.88350663315282</v>
      </c>
      <c r="L516" s="304">
        <f t="shared" ref="L516:L579" ca="1" si="232">SQRT(pos_x^2+pos_z^2)</f>
        <v>916.41430275792743</v>
      </c>
      <c r="M516" s="306">
        <f t="shared" ca="1" si="219"/>
        <v>1.2886817081022721</v>
      </c>
      <c r="N516" s="304">
        <f t="shared" ca="1" si="220"/>
        <v>73.836023009970091</v>
      </c>
      <c r="P516" s="310">
        <f t="shared" ca="1" si="221"/>
        <v>23</v>
      </c>
      <c r="Q516" s="304">
        <f t="shared" ca="1" si="222"/>
        <v>0</v>
      </c>
      <c r="R516" s="306">
        <f t="shared" ca="1" si="223"/>
        <v>0</v>
      </c>
      <c r="S516" s="307">
        <f t="shared" ca="1" si="224"/>
        <v>12.409999999999973</v>
      </c>
      <c r="T516" s="304">
        <f t="shared" ref="T516:T579" ca="1" si="233">m*g</f>
        <v>121.74209999999975</v>
      </c>
      <c r="U516" s="311">
        <f t="shared" ref="U516:U579" ca="1" si="234">IF(pos_xz&lt;L_rampe,Poids*COS(Beta),0)</f>
        <v>0</v>
      </c>
      <c r="V516" s="306">
        <f t="shared" ref="V516:V579" ca="1" si="235">Rho_moyen*(20000-Alt_rampe-pos_z)/(20000+Alt_rampe+pos_z)</f>
        <v>1.1208575869804891</v>
      </c>
      <c r="W516" s="304">
        <f t="shared" ref="W516:W579" ca="1" si="236">1/2*Rho*Sref*Cx*vit_xz^2</f>
        <v>89.81107818910364</v>
      </c>
      <c r="Y516" s="314" t="str">
        <f t="shared" ca="1" si="225"/>
        <v/>
      </c>
      <c r="Z516" s="315" t="str">
        <f t="shared" ca="1" si="226"/>
        <v/>
      </c>
      <c r="AA516" s="316" t="str">
        <f t="shared" ca="1" si="227"/>
        <v/>
      </c>
      <c r="AC516" s="310" t="e">
        <f t="shared" ca="1" si="228"/>
        <v>#N/A</v>
      </c>
      <c r="AD516" s="323" t="e">
        <f t="shared" ca="1" si="229"/>
        <v>#N/A</v>
      </c>
      <c r="AE516" s="324">
        <f t="shared" ref="AE516:AE579" ca="1" si="237">IF(t&lt;T_para, pos_z, NA())</f>
        <v>887.88350663315282</v>
      </c>
      <c r="AG516" s="306">
        <f t="shared" ca="1" si="230"/>
        <v>-16.806930231887801</v>
      </c>
      <c r="AH516" s="304">
        <f t="shared" ca="1" si="231"/>
        <v>-7.380778631452336</v>
      </c>
    </row>
    <row r="517" spans="1:34" x14ac:dyDescent="0.25">
      <c r="A517" s="347">
        <f t="shared" ref="A517:A580" ca="1" si="238">IF(B516+0.01&lt;=T_ini+ROUNDUP(Temps_fin_propu,0), 0.01, IF(K516&gt;0, 0.1, 0.0001))</f>
        <v>0.1</v>
      </c>
      <c r="B517" s="304">
        <f t="shared" ref="B517:B580" ca="1" si="239">B516+pas</f>
        <v>6.2999999999999332</v>
      </c>
      <c r="D517" s="306">
        <f t="shared" ref="D517:D580" ca="1" si="240">IF(AND(L516&lt;L_rampe,Poussee&lt;Poids*SIN(M516)),0,(-W516+Poussee)/m*COS(M516)-U516/m*SIN(M516))</f>
        <v>-2.014686794125677</v>
      </c>
      <c r="E517" s="307">
        <f t="shared" ref="E517:E580" ca="1" si="241">IF(AND(L516&lt;L_rampe,Poussee&lt;Poids*SIN(M516)),0,(-W516+Poussee)/m*SIN(M516)+U516/m*COS(M516)-Poids/m)</f>
        <v>-16.760906346727509</v>
      </c>
      <c r="F517" s="304">
        <f t="shared" ref="F517:F580" ca="1" si="242">SQRT(acc_x^2+acc_z^2)</f>
        <v>16.881556339455049</v>
      </c>
      <c r="G517" s="306">
        <f t="shared" ref="G517:G580" ca="1" si="243">G516+acc_x*pas</f>
        <v>51.946701829723047</v>
      </c>
      <c r="H517" s="307">
        <f t="shared" ref="H517:H580" ca="1" si="244">H516+acc_z*pas</f>
        <v>178.24122972453716</v>
      </c>
      <c r="I517" s="304">
        <f t="shared" ref="I517:I580" ca="1" si="245">SQRT(vit_x^2+vit_z^2)</f>
        <v>185.65666108357487</v>
      </c>
      <c r="J517" s="306">
        <f t="shared" ref="J517:J580" ca="1" si="246">J516+0.5*(vit_x+G516)*pas*(K516&gt;=0)</f>
        <v>232.09249768955519</v>
      </c>
      <c r="K517" s="307">
        <f t="shared" ref="K517:K580" ca="1" si="247">K516+0.5*(vit_z+H516)*pas</f>
        <v>905.79143413734016</v>
      </c>
      <c r="L517" s="304">
        <f t="shared" ca="1" si="232"/>
        <v>935.05350095080428</v>
      </c>
      <c r="M517" s="306">
        <f t="shared" ref="M517:M580" ca="1" si="248">IF(AND(L516&gt;L_rampe,G517&gt;0),ATAN2(G517,H517),$M$4)</f>
        <v>1.2872107237957768</v>
      </c>
      <c r="N517" s="304">
        <f t="shared" ref="N517:N580" ca="1" si="249">DEGREES(Beta)</f>
        <v>73.751741817477935</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12.409999999999973</v>
      </c>
      <c r="T517" s="304">
        <f t="shared" ca="1" si="233"/>
        <v>121.74209999999975</v>
      </c>
      <c r="U517" s="311">
        <f t="shared" ca="1" si="234"/>
        <v>0</v>
      </c>
      <c r="V517" s="306">
        <f t="shared" ca="1" si="235"/>
        <v>1.1188481223909688</v>
      </c>
      <c r="W517" s="304">
        <f t="shared" ca="1" si="236"/>
        <v>88.062771914418761</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f t="shared" ca="1" si="237"/>
        <v>905.79143413734016</v>
      </c>
      <c r="AG517" s="306">
        <f t="shared" ref="AG517:AG580" ca="1" si="259">IF(AND(L516&lt;L_rampe,Poussee&lt;Poids*SIN(M516)),0,(-W516+Poussee)/m-Poids*SIN(M516)/m)</f>
        <v>-16.659192542187121</v>
      </c>
      <c r="AH517" s="304">
        <f t="shared" ref="AH517:AH580" ca="1" si="260">IF(AND(L516&lt;L_rampe,Poussee&lt;Poids*SIN(M516)), g*SIN(M516), (-W516+Poussee)/m)</f>
        <v>-7.2369926018617106</v>
      </c>
    </row>
    <row r="518" spans="1:34" x14ac:dyDescent="0.25">
      <c r="A518" s="347">
        <f t="shared" ca="1" si="238"/>
        <v>0.1</v>
      </c>
      <c r="B518" s="304">
        <f t="shared" ca="1" si="239"/>
        <v>6.3999999999999329</v>
      </c>
      <c r="D518" s="306">
        <f t="shared" ca="1" si="240"/>
        <v>-1.9854914126364618</v>
      </c>
      <c r="E518" s="307">
        <f t="shared" ca="1" si="241"/>
        <v>-16.622683356796632</v>
      </c>
      <c r="F518" s="304">
        <f t="shared" ca="1" si="242"/>
        <v>16.740841619523696</v>
      </c>
      <c r="G518" s="306">
        <f t="shared" ca="1" si="243"/>
        <v>51.748152688459399</v>
      </c>
      <c r="H518" s="307">
        <f t="shared" ca="1" si="244"/>
        <v>176.57896138885749</v>
      </c>
      <c r="I518" s="304">
        <f t="shared" ca="1" si="245"/>
        <v>184.00543718008916</v>
      </c>
      <c r="J518" s="306">
        <f t="shared" ca="1" si="246"/>
        <v>237.27724041546432</v>
      </c>
      <c r="K518" s="307">
        <f t="shared" ca="1" si="247"/>
        <v>923.5324436930099</v>
      </c>
      <c r="L518" s="304">
        <f t="shared" ca="1" si="232"/>
        <v>953.52643559198737</v>
      </c>
      <c r="M518" s="306">
        <f t="shared" ca="1" si="248"/>
        <v>1.2857190084572139</v>
      </c>
      <c r="N518" s="304">
        <f t="shared" ca="1" si="249"/>
        <v>73.666272824343352</v>
      </c>
      <c r="P518" s="310">
        <f t="shared" ca="1" si="250"/>
        <v>23</v>
      </c>
      <c r="Q518" s="304">
        <f t="shared" ca="1" si="251"/>
        <v>0</v>
      </c>
      <c r="R518" s="306">
        <f t="shared" ca="1" si="252"/>
        <v>0</v>
      </c>
      <c r="S518" s="307">
        <f t="shared" ca="1" si="253"/>
        <v>12.409999999999973</v>
      </c>
      <c r="T518" s="304">
        <f t="shared" ca="1" si="233"/>
        <v>121.74209999999975</v>
      </c>
      <c r="U518" s="311">
        <f t="shared" ca="1" si="234"/>
        <v>0</v>
      </c>
      <c r="V518" s="306">
        <f t="shared" ca="1" si="235"/>
        <v>1.116860779572624</v>
      </c>
      <c r="W518" s="304">
        <f t="shared" ca="1" si="236"/>
        <v>86.349632838625155</v>
      </c>
      <c r="Y518" s="314" t="str">
        <f t="shared" ca="1" si="254"/>
        <v/>
      </c>
      <c r="Z518" s="315" t="str">
        <f t="shared" ca="1" si="255"/>
        <v/>
      </c>
      <c r="AA518" s="316" t="str">
        <f t="shared" ca="1" si="256"/>
        <v/>
      </c>
      <c r="AC518" s="310" t="e">
        <f t="shared" ca="1" si="257"/>
        <v>#N/A</v>
      </c>
      <c r="AD518" s="323" t="e">
        <f t="shared" ca="1" si="258"/>
        <v>#N/A</v>
      </c>
      <c r="AE518" s="324">
        <f t="shared" ca="1" si="237"/>
        <v>923.5324436930099</v>
      </c>
      <c r="AG518" s="306">
        <f t="shared" ca="1" si="259"/>
        <v>-16.51428629245116</v>
      </c>
      <c r="AH518" s="304">
        <f t="shared" ca="1" si="260"/>
        <v>-7.0961137723141778</v>
      </c>
    </row>
    <row r="519" spans="1:34" x14ac:dyDescent="0.25">
      <c r="A519" s="347">
        <f t="shared" ca="1" si="238"/>
        <v>0.1</v>
      </c>
      <c r="B519" s="304">
        <f t="shared" ca="1" si="239"/>
        <v>6.4999999999999325</v>
      </c>
      <c r="D519" s="306">
        <f t="shared" ca="1" si="240"/>
        <v>-1.9568291467639096</v>
      </c>
      <c r="E519" s="307">
        <f t="shared" ca="1" si="241"/>
        <v>-16.487240450132525</v>
      </c>
      <c r="F519" s="304">
        <f t="shared" ca="1" si="242"/>
        <v>16.602959915933994</v>
      </c>
      <c r="G519" s="306">
        <f t="shared" ca="1" si="243"/>
        <v>51.55246977378301</v>
      </c>
      <c r="H519" s="307">
        <f t="shared" ca="1" si="244"/>
        <v>174.93023734384425</v>
      </c>
      <c r="I519" s="304">
        <f t="shared" ca="1" si="245"/>
        <v>182.36843223801233</v>
      </c>
      <c r="J519" s="306">
        <f t="shared" ca="1" si="246"/>
        <v>242.44227153857645</v>
      </c>
      <c r="K519" s="307">
        <f t="shared" ca="1" si="247"/>
        <v>941.10790362964497</v>
      </c>
      <c r="L519" s="304">
        <f t="shared" ca="1" si="232"/>
        <v>971.834523621676</v>
      </c>
      <c r="M519" s="306">
        <f t="shared" ca="1" si="248"/>
        <v>1.2842062008380597</v>
      </c>
      <c r="N519" s="304">
        <f t="shared" ca="1" si="249"/>
        <v>73.579595332550582</v>
      </c>
      <c r="P519" s="310">
        <f t="shared" ca="1" si="250"/>
        <v>23</v>
      </c>
      <c r="Q519" s="304">
        <f t="shared" ca="1" si="251"/>
        <v>0</v>
      </c>
      <c r="R519" s="306">
        <f t="shared" ca="1" si="252"/>
        <v>0</v>
      </c>
      <c r="S519" s="307">
        <f t="shared" ca="1" si="253"/>
        <v>12.409999999999973</v>
      </c>
      <c r="T519" s="304">
        <f t="shared" ca="1" si="233"/>
        <v>121.74209999999975</v>
      </c>
      <c r="U519" s="311">
        <f t="shared" ca="1" si="234"/>
        <v>0</v>
      </c>
      <c r="V519" s="306">
        <f t="shared" ca="1" si="235"/>
        <v>1.1148953018864403</v>
      </c>
      <c r="W519" s="304">
        <f t="shared" ca="1" si="236"/>
        <v>84.670779366004169</v>
      </c>
      <c r="Y519" s="314" t="str">
        <f t="shared" ca="1" si="254"/>
        <v/>
      </c>
      <c r="Z519" s="315" t="str">
        <f t="shared" ca="1" si="255"/>
        <v/>
      </c>
      <c r="AA519" s="316" t="str">
        <f t="shared" ca="1" si="256"/>
        <v/>
      </c>
      <c r="AC519" s="310" t="e">
        <f t="shared" ca="1" si="257"/>
        <v>#N/A</v>
      </c>
      <c r="AD519" s="323" t="e">
        <f t="shared" ca="1" si="258"/>
        <v>#N/A</v>
      </c>
      <c r="AE519" s="324">
        <f t="shared" ca="1" si="237"/>
        <v>941.10790362964497</v>
      </c>
      <c r="AG519" s="306">
        <f t="shared" ca="1" si="259"/>
        <v>-16.372136250388532</v>
      </c>
      <c r="AH519" s="304">
        <f t="shared" ca="1" si="260"/>
        <v>-6.958068721887618</v>
      </c>
    </row>
    <row r="520" spans="1:34" x14ac:dyDescent="0.25">
      <c r="A520" s="347">
        <f t="shared" ca="1" si="238"/>
        <v>0.1</v>
      </c>
      <c r="B520" s="304">
        <f t="shared" ca="1" si="239"/>
        <v>6.5999999999999321</v>
      </c>
      <c r="D520" s="306">
        <f t="shared" ca="1" si="240"/>
        <v>-1.9286862640230849</v>
      </c>
      <c r="E520" s="307">
        <f t="shared" ca="1" si="241"/>
        <v>-16.354507904429205</v>
      </c>
      <c r="F520" s="304">
        <f t="shared" ca="1" si="242"/>
        <v>16.467840158960392</v>
      </c>
      <c r="G520" s="306">
        <f t="shared" ca="1" si="243"/>
        <v>51.359601147380701</v>
      </c>
      <c r="H520" s="307">
        <f t="shared" ca="1" si="244"/>
        <v>173.29478655340134</v>
      </c>
      <c r="I520" s="304">
        <f t="shared" ca="1" si="245"/>
        <v>180.74537802280577</v>
      </c>
      <c r="J520" s="306">
        <f t="shared" ca="1" si="246"/>
        <v>247.58787508463465</v>
      </c>
      <c r="K520" s="307">
        <f t="shared" ca="1" si="247"/>
        <v>958.51915482450727</v>
      </c>
      <c r="L520" s="304">
        <f t="shared" ca="1" si="232"/>
        <v>989.97915435347045</v>
      </c>
      <c r="M520" s="306">
        <f t="shared" ca="1" si="248"/>
        <v>1.2826719308531214</v>
      </c>
      <c r="N520" s="304">
        <f t="shared" ca="1" si="249"/>
        <v>73.491688137780017</v>
      </c>
      <c r="P520" s="310">
        <f t="shared" ca="1" si="250"/>
        <v>23</v>
      </c>
      <c r="Q520" s="304">
        <f t="shared" ca="1" si="251"/>
        <v>0</v>
      </c>
      <c r="R520" s="306">
        <f t="shared" ca="1" si="252"/>
        <v>0</v>
      </c>
      <c r="S520" s="307">
        <f t="shared" ca="1" si="253"/>
        <v>12.409999999999973</v>
      </c>
      <c r="T520" s="304">
        <f t="shared" ca="1" si="233"/>
        <v>121.74209999999975</v>
      </c>
      <c r="U520" s="311">
        <f t="shared" ca="1" si="234"/>
        <v>0</v>
      </c>
      <c r="V520" s="306">
        <f t="shared" ca="1" si="235"/>
        <v>1.1129514381730803</v>
      </c>
      <c r="W520" s="304">
        <f t="shared" ca="1" si="236"/>
        <v>83.025358315837906</v>
      </c>
      <c r="Y520" s="314" t="str">
        <f t="shared" ca="1" si="254"/>
        <v/>
      </c>
      <c r="Z520" s="315" t="str">
        <f t="shared" ca="1" si="255"/>
        <v/>
      </c>
      <c r="AA520" s="316" t="str">
        <f t="shared" ca="1" si="256"/>
        <v/>
      </c>
      <c r="AC520" s="310" t="e">
        <f t="shared" ca="1" si="257"/>
        <v>#N/A</v>
      </c>
      <c r="AD520" s="323" t="e">
        <f t="shared" ca="1" si="258"/>
        <v>#N/A</v>
      </c>
      <c r="AE520" s="324">
        <f t="shared" ca="1" si="237"/>
        <v>958.51915482450727</v>
      </c>
      <c r="AG520" s="306">
        <f t="shared" ca="1" si="259"/>
        <v>-16.232669510637468</v>
      </c>
      <c r="AH520" s="304">
        <f t="shared" ca="1" si="260"/>
        <v>-6.8227864114427357</v>
      </c>
    </row>
    <row r="521" spans="1:34" x14ac:dyDescent="0.25">
      <c r="A521" s="347">
        <f t="shared" ca="1" si="238"/>
        <v>0.1</v>
      </c>
      <c r="B521" s="304">
        <f t="shared" ca="1" si="239"/>
        <v>6.6999999999999318</v>
      </c>
      <c r="D521" s="306">
        <f t="shared" ca="1" si="240"/>
        <v>-1.9010494726697234</v>
      </c>
      <c r="E521" s="307">
        <f t="shared" ca="1" si="241"/>
        <v>-16.224418243794268</v>
      </c>
      <c r="F521" s="304">
        <f t="shared" ca="1" si="242"/>
        <v>16.335413568290889</v>
      </c>
      <c r="G521" s="306">
        <f t="shared" ca="1" si="243"/>
        <v>51.169496200113727</v>
      </c>
      <c r="H521" s="307">
        <f t="shared" ca="1" si="244"/>
        <v>171.67234472902192</v>
      </c>
      <c r="I521" s="304">
        <f t="shared" ca="1" si="245"/>
        <v>179.13601337010263</v>
      </c>
      <c r="J521" s="306">
        <f t="shared" ca="1" si="246"/>
        <v>252.71432995200936</v>
      </c>
      <c r="K521" s="307">
        <f t="shared" ca="1" si="247"/>
        <v>975.76751138862846</v>
      </c>
      <c r="L521" s="304">
        <f t="shared" ca="1" si="232"/>
        <v>1007.9616901671661</v>
      </c>
      <c r="M521" s="306">
        <f t="shared" ca="1" si="248"/>
        <v>1.2811158193262751</v>
      </c>
      <c r="N521" s="304">
        <f t="shared" ca="1" si="249"/>
        <v>73.402529514840069</v>
      </c>
      <c r="P521" s="310">
        <f t="shared" ca="1" si="250"/>
        <v>23</v>
      </c>
      <c r="Q521" s="304">
        <f t="shared" ca="1" si="251"/>
        <v>0</v>
      </c>
      <c r="R521" s="306">
        <f t="shared" ca="1" si="252"/>
        <v>0</v>
      </c>
      <c r="S521" s="307">
        <f t="shared" ca="1" si="253"/>
        <v>12.409999999999973</v>
      </c>
      <c r="T521" s="304">
        <f t="shared" ca="1" si="233"/>
        <v>121.74209999999975</v>
      </c>
      <c r="U521" s="311">
        <f t="shared" ca="1" si="234"/>
        <v>0</v>
      </c>
      <c r="V521" s="306">
        <f t="shared" ca="1" si="235"/>
        <v>1.1110289426070268</v>
      </c>
      <c r="W521" s="304">
        <f t="shared" ca="1" si="236"/>
        <v>81.412543831123571</v>
      </c>
      <c r="Y521" s="314" t="str">
        <f t="shared" ca="1" si="254"/>
        <v/>
      </c>
      <c r="Z521" s="315" t="str">
        <f t="shared" ca="1" si="255"/>
        <v/>
      </c>
      <c r="AA521" s="316" t="str">
        <f t="shared" ca="1" si="256"/>
        <v/>
      </c>
      <c r="AC521" s="310" t="e">
        <f t="shared" ca="1" si="257"/>
        <v>#N/A</v>
      </c>
      <c r="AD521" s="323" t="e">
        <f t="shared" ca="1" si="258"/>
        <v>#N/A</v>
      </c>
      <c r="AE521" s="324">
        <f t="shared" ca="1" si="237"/>
        <v>975.76751138862846</v>
      </c>
      <c r="AG521" s="306">
        <f t="shared" ca="1" si="259"/>
        <v>-16.095815400724199</v>
      </c>
      <c r="AH521" s="304">
        <f t="shared" ca="1" si="260"/>
        <v>-6.6901980915260344</v>
      </c>
    </row>
    <row r="522" spans="1:34" x14ac:dyDescent="0.25">
      <c r="A522" s="347">
        <f t="shared" ca="1" si="238"/>
        <v>0.1</v>
      </c>
      <c r="B522" s="304">
        <f t="shared" ca="1" si="239"/>
        <v>6.7999999999999314</v>
      </c>
      <c r="D522" s="306">
        <f t="shared" ca="1" si="240"/>
        <v>-1.8739059047958084</v>
      </c>
      <c r="E522" s="307">
        <f t="shared" ca="1" si="241"/>
        <v>-16.096906152442063</v>
      </c>
      <c r="F522" s="304">
        <f t="shared" ca="1" si="242"/>
        <v>16.205613565075396</v>
      </c>
      <c r="G522" s="306">
        <f t="shared" ca="1" si="243"/>
        <v>50.982105609634147</v>
      </c>
      <c r="H522" s="307">
        <f t="shared" ca="1" si="244"/>
        <v>170.06265411377771</v>
      </c>
      <c r="I522" s="304">
        <f t="shared" ca="1" si="245"/>
        <v>177.54008397151975</v>
      </c>
      <c r="J522" s="306">
        <f t="shared" ca="1" si="246"/>
        <v>257.82191004249677</v>
      </c>
      <c r="K522" s="307">
        <f t="shared" ca="1" si="247"/>
        <v>992.8542613307684</v>
      </c>
      <c r="L522" s="304">
        <f t="shared" ca="1" si="232"/>
        <v>1025.7834671803923</v>
      </c>
      <c r="M522" s="306">
        <f t="shared" ca="1" si="248"/>
        <v>1.2795374777274959</v>
      </c>
      <c r="N522" s="304">
        <f t="shared" ca="1" si="249"/>
        <v>73.312097202600086</v>
      </c>
      <c r="P522" s="310">
        <f t="shared" ca="1" si="250"/>
        <v>23</v>
      </c>
      <c r="Q522" s="304">
        <f t="shared" ca="1" si="251"/>
        <v>0</v>
      </c>
      <c r="R522" s="306">
        <f t="shared" ca="1" si="252"/>
        <v>0</v>
      </c>
      <c r="S522" s="307">
        <f t="shared" ca="1" si="253"/>
        <v>12.409999999999973</v>
      </c>
      <c r="T522" s="304">
        <f t="shared" ca="1" si="233"/>
        <v>121.74209999999975</v>
      </c>
      <c r="U522" s="311">
        <f t="shared" ca="1" si="234"/>
        <v>0</v>
      </c>
      <c r="V522" s="306">
        <f t="shared" ca="1" si="235"/>
        <v>1.109127574555639</v>
      </c>
      <c r="W522" s="304">
        <f t="shared" ca="1" si="236"/>
        <v>79.831536336268954</v>
      </c>
      <c r="Y522" s="314" t="str">
        <f t="shared" ca="1" si="254"/>
        <v/>
      </c>
      <c r="Z522" s="315" t="str">
        <f t="shared" ca="1" si="255"/>
        <v/>
      </c>
      <c r="AA522" s="316" t="str">
        <f t="shared" ca="1" si="256"/>
        <v/>
      </c>
      <c r="AC522" s="310" t="e">
        <f t="shared" ca="1" si="257"/>
        <v>#N/A</v>
      </c>
      <c r="AD522" s="323" t="e">
        <f t="shared" ca="1" si="258"/>
        <v>#N/A</v>
      </c>
      <c r="AE522" s="324">
        <f t="shared" ca="1" si="237"/>
        <v>992.8542613307684</v>
      </c>
      <c r="AG522" s="306">
        <f t="shared" ca="1" si="259"/>
        <v>-15.961505391102861</v>
      </c>
      <c r="AH522" s="304">
        <f t="shared" ca="1" si="260"/>
        <v>-6.5602372144338235</v>
      </c>
    </row>
    <row r="523" spans="1:34" x14ac:dyDescent="0.25">
      <c r="A523" s="347">
        <f t="shared" ca="1" si="238"/>
        <v>0.1</v>
      </c>
      <c r="B523" s="304">
        <f t="shared" ca="1" si="239"/>
        <v>6.8999999999999311</v>
      </c>
      <c r="D523" s="306">
        <f t="shared" ca="1" si="240"/>
        <v>-1.8472431001863001</v>
      </c>
      <c r="E523" s="307">
        <f t="shared" ca="1" si="241"/>
        <v>-15.971908392259117</v>
      </c>
      <c r="F523" s="304">
        <f t="shared" ca="1" si="242"/>
        <v>16.078375687920193</v>
      </c>
      <c r="G523" s="306">
        <f t="shared" ca="1" si="243"/>
        <v>50.797381299615516</v>
      </c>
      <c r="H523" s="307">
        <f t="shared" ca="1" si="244"/>
        <v>168.46546327455181</v>
      </c>
      <c r="I523" s="304">
        <f t="shared" ca="1" si="245"/>
        <v>175.9573421690834</v>
      </c>
      <c r="J523" s="306">
        <f t="shared" ca="1" si="246"/>
        <v>262.91088438795924</v>
      </c>
      <c r="K523" s="307">
        <f t="shared" ca="1" si="247"/>
        <v>1009.7806672001849</v>
      </c>
      <c r="L523" s="304">
        <f t="shared" ca="1" si="232"/>
        <v>1043.4457958997723</v>
      </c>
      <c r="M523" s="306">
        <f t="shared" ca="1" si="248"/>
        <v>1.277936507900848</v>
      </c>
      <c r="N523" s="304">
        <f t="shared" ca="1" si="249"/>
        <v>73.220368388405376</v>
      </c>
      <c r="P523" s="310">
        <f t="shared" ca="1" si="250"/>
        <v>23</v>
      </c>
      <c r="Q523" s="304">
        <f t="shared" ca="1" si="251"/>
        <v>0</v>
      </c>
      <c r="R523" s="306">
        <f t="shared" ca="1" si="252"/>
        <v>0</v>
      </c>
      <c r="S523" s="307">
        <f t="shared" ca="1" si="253"/>
        <v>12.409999999999973</v>
      </c>
      <c r="T523" s="304">
        <f t="shared" ca="1" si="233"/>
        <v>121.74209999999975</v>
      </c>
      <c r="U523" s="311">
        <f t="shared" ca="1" si="234"/>
        <v>0</v>
      </c>
      <c r="V523" s="306">
        <f t="shared" ca="1" si="235"/>
        <v>1.1072470984429301</v>
      </c>
      <c r="W523" s="304">
        <f t="shared" ca="1" si="236"/>
        <v>78.281561541264509</v>
      </c>
      <c r="Y523" s="314" t="str">
        <f t="shared" ca="1" si="254"/>
        <v/>
      </c>
      <c r="Z523" s="315" t="str">
        <f t="shared" ca="1" si="255"/>
        <v/>
      </c>
      <c r="AA523" s="316" t="str">
        <f t="shared" ca="1" si="256"/>
        <v/>
      </c>
      <c r="AC523" s="310" t="e">
        <f t="shared" ca="1" si="257"/>
        <v>#N/A</v>
      </c>
      <c r="AD523" s="323" t="e">
        <f t="shared" ca="1" si="258"/>
        <v>#N/A</v>
      </c>
      <c r="AE523" s="324">
        <f t="shared" ca="1" si="237"/>
        <v>1009.7806672001849</v>
      </c>
      <c r="AG523" s="306">
        <f t="shared" ca="1" si="259"/>
        <v>-15.82967300905921</v>
      </c>
      <c r="AH523" s="304">
        <f t="shared" ca="1" si="260"/>
        <v>-6.4328393502231362</v>
      </c>
    </row>
    <row r="524" spans="1:34" x14ac:dyDescent="0.25">
      <c r="A524" s="347">
        <f t="shared" ca="1" si="238"/>
        <v>0.1</v>
      </c>
      <c r="B524" s="304">
        <f t="shared" ca="1" si="239"/>
        <v>6.9999999999999307</v>
      </c>
      <c r="D524" s="306">
        <f t="shared" ca="1" si="240"/>
        <v>-1.8210489908982179</v>
      </c>
      <c r="E524" s="307">
        <f t="shared" ca="1" si="241"/>
        <v>-15.84936372404389</v>
      </c>
      <c r="F524" s="304">
        <f t="shared" ca="1" si="242"/>
        <v>15.953637512626699</v>
      </c>
      <c r="G524" s="306">
        <f t="shared" ca="1" si="243"/>
        <v>50.615276400525694</v>
      </c>
      <c r="H524" s="307">
        <f t="shared" ca="1" si="244"/>
        <v>166.88052690214741</v>
      </c>
      <c r="I524" s="304">
        <f t="shared" ca="1" si="245"/>
        <v>174.38754675790344</v>
      </c>
      <c r="J524" s="306">
        <f t="shared" ca="1" si="246"/>
        <v>267.9815172729663</v>
      </c>
      <c r="K524" s="307">
        <f t="shared" ca="1" si="247"/>
        <v>1026.5479667090199</v>
      </c>
      <c r="L524" s="304">
        <f t="shared" ca="1" si="232"/>
        <v>1060.9499618522752</v>
      </c>
      <c r="M524" s="306">
        <f t="shared" ca="1" si="248"/>
        <v>1.2763125017830899</v>
      </c>
      <c r="N524" s="304">
        <f t="shared" ca="1" si="249"/>
        <v>73.127319691954412</v>
      </c>
      <c r="P524" s="310">
        <f t="shared" ca="1" si="250"/>
        <v>23</v>
      </c>
      <c r="Q524" s="304">
        <f t="shared" ca="1" si="251"/>
        <v>0</v>
      </c>
      <c r="R524" s="306">
        <f t="shared" ca="1" si="252"/>
        <v>0</v>
      </c>
      <c r="S524" s="307">
        <f t="shared" ca="1" si="253"/>
        <v>12.409999999999973</v>
      </c>
      <c r="T524" s="304">
        <f t="shared" ca="1" si="233"/>
        <v>121.74209999999975</v>
      </c>
      <c r="U524" s="311">
        <f t="shared" ca="1" si="234"/>
        <v>0</v>
      </c>
      <c r="V524" s="306">
        <f t="shared" ca="1" si="235"/>
        <v>1.105387283617876</v>
      </c>
      <c r="W524" s="304">
        <f t="shared" ca="1" si="236"/>
        <v>76.761869489971744</v>
      </c>
      <c r="Y524" s="314" t="str">
        <f t="shared" ca="1" si="254"/>
        <v/>
      </c>
      <c r="Z524" s="315" t="str">
        <f t="shared" ca="1" si="255"/>
        <v/>
      </c>
      <c r="AA524" s="316" t="str">
        <f t="shared" ca="1" si="256"/>
        <v/>
      </c>
      <c r="AC524" s="310">
        <f t="shared" ca="1" si="257"/>
        <v>6.9999999999999307</v>
      </c>
      <c r="AD524" s="323">
        <f t="shared" ca="1" si="258"/>
        <v>267.9815172729663</v>
      </c>
      <c r="AE524" s="324">
        <f t="shared" ca="1" si="237"/>
        <v>1026.5479667090199</v>
      </c>
      <c r="AG524" s="306">
        <f t="shared" ca="1" si="259"/>
        <v>-15.70025375627244</v>
      </c>
      <c r="AH524" s="304">
        <f t="shared" ca="1" si="260"/>
        <v>-6.3079421064677419</v>
      </c>
    </row>
    <row r="525" spans="1:34" x14ac:dyDescent="0.25">
      <c r="A525" s="347">
        <f t="shared" ca="1" si="238"/>
        <v>0.1</v>
      </c>
      <c r="B525" s="304">
        <f t="shared" ca="1" si="239"/>
        <v>7.0999999999999304</v>
      </c>
      <c r="D525" s="306">
        <f t="shared" ca="1" si="240"/>
        <v>-1.7953118865255111</v>
      </c>
      <c r="E525" s="307">
        <f t="shared" ca="1" si="241"/>
        <v>-15.729212832234062</v>
      </c>
      <c r="F525" s="304">
        <f t="shared" ca="1" si="242"/>
        <v>15.831338575484274</v>
      </c>
      <c r="G525" s="306">
        <f t="shared" ca="1" si="243"/>
        <v>50.43574521187314</v>
      </c>
      <c r="H525" s="307">
        <f t="shared" ca="1" si="244"/>
        <v>165.30760561892401</v>
      </c>
      <c r="I525" s="304">
        <f t="shared" ca="1" si="245"/>
        <v>172.83046279674977</v>
      </c>
      <c r="J525" s="306">
        <f t="shared" ca="1" si="246"/>
        <v>273.03406835358624</v>
      </c>
      <c r="K525" s="307">
        <f t="shared" ca="1" si="247"/>
        <v>1043.1573733350735</v>
      </c>
      <c r="L525" s="304">
        <f t="shared" ca="1" si="232"/>
        <v>1078.2972261974157</v>
      </c>
      <c r="M525" s="306">
        <f t="shared" ca="1" si="248"/>
        <v>1.2746650411125366</v>
      </c>
      <c r="N525" s="304">
        <f t="shared" ca="1" si="249"/>
        <v>73.032927148617915</v>
      </c>
      <c r="P525" s="310">
        <f t="shared" ca="1" si="250"/>
        <v>23</v>
      </c>
      <c r="Q525" s="304">
        <f t="shared" ca="1" si="251"/>
        <v>0</v>
      </c>
      <c r="R525" s="306">
        <f t="shared" ca="1" si="252"/>
        <v>0</v>
      </c>
      <c r="S525" s="307">
        <f t="shared" ca="1" si="253"/>
        <v>12.409999999999973</v>
      </c>
      <c r="T525" s="304">
        <f t="shared" ca="1" si="233"/>
        <v>121.74209999999975</v>
      </c>
      <c r="U525" s="311">
        <f t="shared" ca="1" si="234"/>
        <v>0</v>
      </c>
      <c r="V525" s="306">
        <f t="shared" ca="1" si="235"/>
        <v>1.1035479042270795</v>
      </c>
      <c r="W525" s="304">
        <f t="shared" ca="1" si="236"/>
        <v>75.271733650302295</v>
      </c>
      <c r="Y525" s="314" t="str">
        <f t="shared" ca="1" si="254"/>
        <v/>
      </c>
      <c r="Z525" s="315" t="str">
        <f t="shared" ca="1" si="255"/>
        <v/>
      </c>
      <c r="AA525" s="316" t="str">
        <f t="shared" ca="1" si="256"/>
        <v/>
      </c>
      <c r="AC525" s="310" t="e">
        <f t="shared" ca="1" si="257"/>
        <v>#N/A</v>
      </c>
      <c r="AD525" s="323" t="e">
        <f t="shared" ca="1" si="258"/>
        <v>#N/A</v>
      </c>
      <c r="AE525" s="324">
        <f t="shared" ca="1" si="237"/>
        <v>1043.1573733350735</v>
      </c>
      <c r="AG525" s="306">
        <f t="shared" ca="1" si="259"/>
        <v>-15.573185029840984</v>
      </c>
      <c r="AH525" s="304">
        <f t="shared" ca="1" si="260"/>
        <v>-6.1854850515690494</v>
      </c>
    </row>
    <row r="526" spans="1:34" x14ac:dyDescent="0.25">
      <c r="A526" s="347">
        <f t="shared" ca="1" si="238"/>
        <v>0.1</v>
      </c>
      <c r="B526" s="304">
        <f t="shared" ca="1" si="239"/>
        <v>7.19999999999993</v>
      </c>
      <c r="D526" s="306">
        <f t="shared" ca="1" si="240"/>
        <v>-1.7700204601152636</v>
      </c>
      <c r="E526" s="307">
        <f t="shared" ca="1" si="241"/>
        <v>-15.611398252945406</v>
      </c>
      <c r="F526" s="304">
        <f t="shared" ca="1" si="242"/>
        <v>15.711420299937672</v>
      </c>
      <c r="G526" s="306">
        <f t="shared" ca="1" si="243"/>
        <v>50.258743165861617</v>
      </c>
      <c r="H526" s="307">
        <f t="shared" ca="1" si="244"/>
        <v>163.74646579362948</v>
      </c>
      <c r="I526" s="304">
        <f t="shared" ca="1" si="245"/>
        <v>171.2858614262027</v>
      </c>
      <c r="J526" s="306">
        <f t="shared" ca="1" si="246"/>
        <v>278.06879277247299</v>
      </c>
      <c r="K526" s="307">
        <f t="shared" ca="1" si="247"/>
        <v>1059.6100769057011</v>
      </c>
      <c r="L526" s="304">
        <f t="shared" ca="1" si="232"/>
        <v>1095.4888263209473</v>
      </c>
      <c r="M526" s="306">
        <f t="shared" ca="1" si="248"/>
        <v>1.272993697127802</v>
      </c>
      <c r="N526" s="304">
        <f t="shared" ca="1" si="249"/>
        <v>72.93716619217804</v>
      </c>
      <c r="P526" s="310">
        <f t="shared" ca="1" si="250"/>
        <v>23</v>
      </c>
      <c r="Q526" s="304">
        <f t="shared" ca="1" si="251"/>
        <v>0</v>
      </c>
      <c r="R526" s="306">
        <f t="shared" ca="1" si="252"/>
        <v>0</v>
      </c>
      <c r="S526" s="307">
        <f t="shared" ca="1" si="253"/>
        <v>12.409999999999973</v>
      </c>
      <c r="T526" s="304">
        <f t="shared" ca="1" si="233"/>
        <v>121.74209999999975</v>
      </c>
      <c r="U526" s="311">
        <f t="shared" ca="1" si="234"/>
        <v>0</v>
      </c>
      <c r="V526" s="306">
        <f t="shared" ca="1" si="235"/>
        <v>1.1017287390916211</v>
      </c>
      <c r="W526" s="304">
        <f t="shared" ca="1" si="236"/>
        <v>73.810450044186467</v>
      </c>
      <c r="Y526" s="314" t="str">
        <f t="shared" ca="1" si="254"/>
        <v/>
      </c>
      <c r="Z526" s="315" t="str">
        <f t="shared" ca="1" si="255"/>
        <v/>
      </c>
      <c r="AA526" s="316" t="str">
        <f t="shared" ca="1" si="256"/>
        <v/>
      </c>
      <c r="AC526" s="310" t="e">
        <f t="shared" ca="1" si="257"/>
        <v>#N/A</v>
      </c>
      <c r="AD526" s="323" t="e">
        <f t="shared" ca="1" si="258"/>
        <v>#N/A</v>
      </c>
      <c r="AE526" s="324">
        <f t="shared" ca="1" si="237"/>
        <v>1059.6100769057011</v>
      </c>
      <c r="AG526" s="306">
        <f t="shared" ca="1" si="259"/>
        <v>-15.448406046588712</v>
      </c>
      <c r="AH526" s="304">
        <f t="shared" ca="1" si="260"/>
        <v>-6.0654096414425833</v>
      </c>
    </row>
    <row r="527" spans="1:34" x14ac:dyDescent="0.25">
      <c r="A527" s="347">
        <f t="shared" ca="1" si="238"/>
        <v>0.1</v>
      </c>
      <c r="B527" s="304">
        <f t="shared" ca="1" si="239"/>
        <v>7.2999999999999297</v>
      </c>
      <c r="D527" s="306">
        <f t="shared" ca="1" si="240"/>
        <v>-1.7451637347026865</v>
      </c>
      <c r="E527" s="307">
        <f t="shared" ca="1" si="241"/>
        <v>-15.49586430515601</v>
      </c>
      <c r="F527" s="304">
        <f t="shared" ca="1" si="242"/>
        <v>15.593825926459791</v>
      </c>
      <c r="G527" s="306">
        <f t="shared" ca="1" si="243"/>
        <v>50.084226792391348</v>
      </c>
      <c r="H527" s="307">
        <f t="shared" ca="1" si="244"/>
        <v>162.19687936311388</v>
      </c>
      <c r="I527" s="304">
        <f t="shared" ca="1" si="245"/>
        <v>169.75351969406762</v>
      </c>
      <c r="J527" s="306">
        <f t="shared" ca="1" si="246"/>
        <v>283.08594127038566</v>
      </c>
      <c r="K527" s="307">
        <f t="shared" ca="1" si="247"/>
        <v>1075.9072441635383</v>
      </c>
      <c r="L527" s="304">
        <f t="shared" ca="1" si="232"/>
        <v>1112.5259764106725</v>
      </c>
      <c r="M527" s="306">
        <f t="shared" ca="1" si="248"/>
        <v>1.2712980302560344</v>
      </c>
      <c r="N527" s="304">
        <f t="shared" ca="1" si="249"/>
        <v>72.840011636965599</v>
      </c>
      <c r="P527" s="310">
        <f t="shared" ca="1" si="250"/>
        <v>23</v>
      </c>
      <c r="Q527" s="304">
        <f t="shared" ca="1" si="251"/>
        <v>0</v>
      </c>
      <c r="R527" s="306">
        <f t="shared" ca="1" si="252"/>
        <v>0</v>
      </c>
      <c r="S527" s="307">
        <f t="shared" ca="1" si="253"/>
        <v>12.409999999999973</v>
      </c>
      <c r="T527" s="304">
        <f t="shared" ca="1" si="233"/>
        <v>121.74209999999975</v>
      </c>
      <c r="U527" s="311">
        <f t="shared" ca="1" si="234"/>
        <v>0</v>
      </c>
      <c r="V527" s="306">
        <f t="shared" ca="1" si="235"/>
        <v>1.0999295715879258</v>
      </c>
      <c r="W527" s="304">
        <f t="shared" ca="1" si="236"/>
        <v>72.37733641535047</v>
      </c>
      <c r="Y527" s="314" t="str">
        <f t="shared" ca="1" si="254"/>
        <v/>
      </c>
      <c r="Z527" s="315" t="str">
        <f t="shared" ca="1" si="255"/>
        <v/>
      </c>
      <c r="AA527" s="316" t="str">
        <f t="shared" ca="1" si="256"/>
        <v/>
      </c>
      <c r="AC527" s="310" t="e">
        <f t="shared" ca="1" si="257"/>
        <v>#N/A</v>
      </c>
      <c r="AD527" s="323" t="e">
        <f t="shared" ca="1" si="258"/>
        <v>#N/A</v>
      </c>
      <c r="AE527" s="324">
        <f t="shared" ca="1" si="237"/>
        <v>1075.9072441635383</v>
      </c>
      <c r="AG527" s="306">
        <f t="shared" ca="1" si="259"/>
        <v>-15.325857770477793</v>
      </c>
      <c r="AH527" s="304">
        <f t="shared" ca="1" si="260"/>
        <v>-5.9476591494106872</v>
      </c>
    </row>
    <row r="528" spans="1:34" x14ac:dyDescent="0.25">
      <c r="A528" s="347">
        <f t="shared" ca="1" si="238"/>
        <v>0.1</v>
      </c>
      <c r="B528" s="304">
        <f t="shared" ca="1" si="239"/>
        <v>7.3999999999999293</v>
      </c>
      <c r="D528" s="306">
        <f t="shared" ca="1" si="240"/>
        <v>-1.7207310704342387</v>
      </c>
      <c r="E528" s="307">
        <f t="shared" ca="1" si="241"/>
        <v>-15.382557024879215</v>
      </c>
      <c r="F528" s="304">
        <f t="shared" ca="1" si="242"/>
        <v>15.478500445470118</v>
      </c>
      <c r="G528" s="306">
        <f t="shared" ca="1" si="243"/>
        <v>49.912153685347924</v>
      </c>
      <c r="H528" s="307">
        <f t="shared" ca="1" si="244"/>
        <v>160.65862366062595</v>
      </c>
      <c r="I528" s="304">
        <f t="shared" ca="1" si="245"/>
        <v>168.23322038775942</v>
      </c>
      <c r="J528" s="306">
        <f t="shared" ca="1" si="246"/>
        <v>288.08576029427263</v>
      </c>
      <c r="K528" s="307">
        <f t="shared" ca="1" si="247"/>
        <v>1092.0500193147252</v>
      </c>
      <c r="L528" s="304">
        <f t="shared" ca="1" si="232"/>
        <v>1129.4098680149827</v>
      </c>
      <c r="M528" s="306">
        <f t="shared" ca="1" si="248"/>
        <v>1.2695775897902362</v>
      </c>
      <c r="N528" s="304">
        <f t="shared" ca="1" si="249"/>
        <v>72.74143765937184</v>
      </c>
      <c r="P528" s="310">
        <f t="shared" ca="1" si="250"/>
        <v>23</v>
      </c>
      <c r="Q528" s="304">
        <f t="shared" ca="1" si="251"/>
        <v>0</v>
      </c>
      <c r="R528" s="306">
        <f t="shared" ca="1" si="252"/>
        <v>0</v>
      </c>
      <c r="S528" s="307">
        <f t="shared" ca="1" si="253"/>
        <v>12.409999999999973</v>
      </c>
      <c r="T528" s="304">
        <f t="shared" ca="1" si="233"/>
        <v>121.74209999999975</v>
      </c>
      <c r="U528" s="311">
        <f t="shared" ca="1" si="234"/>
        <v>0</v>
      </c>
      <c r="V528" s="306">
        <f t="shared" ca="1" si="235"/>
        <v>1.0981501895325017</v>
      </c>
      <c r="W528" s="304">
        <f t="shared" ca="1" si="236"/>
        <v>70.971731433030399</v>
      </c>
      <c r="Y528" s="314" t="str">
        <f t="shared" ca="1" si="254"/>
        <v/>
      </c>
      <c r="Z528" s="315" t="str">
        <f t="shared" ca="1" si="255"/>
        <v/>
      </c>
      <c r="AA528" s="316" t="str">
        <f t="shared" ca="1" si="256"/>
        <v/>
      </c>
      <c r="AC528" s="310" t="e">
        <f t="shared" ca="1" si="257"/>
        <v>#N/A</v>
      </c>
      <c r="AD528" s="323" t="e">
        <f t="shared" ca="1" si="258"/>
        <v>#N/A</v>
      </c>
      <c r="AE528" s="324">
        <f t="shared" ca="1" si="237"/>
        <v>1092.0500193147252</v>
      </c>
      <c r="AG528" s="306">
        <f t="shared" ca="1" si="259"/>
        <v>-15.205482842963999</v>
      </c>
      <c r="AH528" s="304">
        <f t="shared" ca="1" si="260"/>
        <v>-5.8321785991418711</v>
      </c>
    </row>
    <row r="529" spans="1:34" x14ac:dyDescent="0.25">
      <c r="A529" s="347">
        <f t="shared" ca="1" si="238"/>
        <v>0.1</v>
      </c>
      <c r="B529" s="304">
        <f t="shared" ca="1" si="239"/>
        <v>7.4999999999999289</v>
      </c>
      <c r="D529" s="306">
        <f t="shared" ca="1" si="240"/>
        <v>-1.6967121522499167</v>
      </c>
      <c r="E529" s="307">
        <f t="shared" ca="1" si="241"/>
        <v>-15.271424102177168</v>
      </c>
      <c r="F529" s="304">
        <f t="shared" ca="1" si="242"/>
        <v>15.365390533147872</v>
      </c>
      <c r="G529" s="306">
        <f t="shared" ca="1" si="243"/>
        <v>49.74248247012293</v>
      </c>
      <c r="H529" s="307">
        <f t="shared" ca="1" si="244"/>
        <v>159.13148125040823</v>
      </c>
      <c r="I529" s="304">
        <f t="shared" ca="1" si="245"/>
        <v>166.72475187337815</v>
      </c>
      <c r="J529" s="306">
        <f t="shared" ca="1" si="246"/>
        <v>293.06849210204615</v>
      </c>
      <c r="K529" s="307">
        <f t="shared" ca="1" si="247"/>
        <v>1108.039524560277</v>
      </c>
      <c r="L529" s="304">
        <f t="shared" ca="1" si="232"/>
        <v>1146.1416705847193</v>
      </c>
      <c r="M529" s="306">
        <f t="shared" ca="1" si="248"/>
        <v>1.2678319135552474</v>
      </c>
      <c r="N529" s="304">
        <f t="shared" ca="1" si="249"/>
        <v>72.641417778710704</v>
      </c>
      <c r="P529" s="310">
        <f t="shared" ca="1" si="250"/>
        <v>23</v>
      </c>
      <c r="Q529" s="304">
        <f t="shared" ca="1" si="251"/>
        <v>0</v>
      </c>
      <c r="R529" s="306">
        <f t="shared" ca="1" si="252"/>
        <v>0</v>
      </c>
      <c r="S529" s="307">
        <f t="shared" ca="1" si="253"/>
        <v>12.409999999999973</v>
      </c>
      <c r="T529" s="304">
        <f t="shared" ca="1" si="233"/>
        <v>121.74209999999975</v>
      </c>
      <c r="U529" s="311">
        <f t="shared" ca="1" si="234"/>
        <v>0</v>
      </c>
      <c r="V529" s="306">
        <f t="shared" ca="1" si="235"/>
        <v>1.0963903850703904</v>
      </c>
      <c r="W529" s="304">
        <f t="shared" ca="1" si="236"/>
        <v>69.592993929855709</v>
      </c>
      <c r="Y529" s="314" t="str">
        <f t="shared" ca="1" si="254"/>
        <v/>
      </c>
      <c r="Z529" s="315" t="str">
        <f t="shared" ca="1" si="255"/>
        <v/>
      </c>
      <c r="AA529" s="316" t="str">
        <f t="shared" ca="1" si="256"/>
        <v/>
      </c>
      <c r="AC529" s="310" t="e">
        <f t="shared" ca="1" si="257"/>
        <v>#N/A</v>
      </c>
      <c r="AD529" s="323" t="e">
        <f t="shared" ca="1" si="258"/>
        <v>#N/A</v>
      </c>
      <c r="AE529" s="324">
        <f t="shared" ca="1" si="237"/>
        <v>1108.039524560277</v>
      </c>
      <c r="AG529" s="306">
        <f t="shared" ca="1" si="259"/>
        <v>-15.087225516138702</v>
      </c>
      <c r="AH529" s="304">
        <f t="shared" ca="1" si="260"/>
        <v>-5.7189147004859429</v>
      </c>
    </row>
    <row r="530" spans="1:34" x14ac:dyDescent="0.25">
      <c r="A530" s="347">
        <f t="shared" ca="1" si="238"/>
        <v>0.1</v>
      </c>
      <c r="B530" s="304">
        <f t="shared" ca="1" si="239"/>
        <v>7.5999999999999286</v>
      </c>
      <c r="D530" s="306">
        <f t="shared" ca="1" si="240"/>
        <v>-1.6730969780973439</v>
      </c>
      <c r="E530" s="307">
        <f t="shared" ca="1" si="241"/>
        <v>-15.162414820875227</v>
      </c>
      <c r="F530" s="304">
        <f t="shared" ca="1" si="242"/>
        <v>15.254444489997505</v>
      </c>
      <c r="G530" s="306">
        <f t="shared" ca="1" si="243"/>
        <v>49.575172772313195</v>
      </c>
      <c r="H530" s="307">
        <f t="shared" ca="1" si="244"/>
        <v>157.61523976832069</v>
      </c>
      <c r="I530" s="304">
        <f t="shared" ca="1" si="245"/>
        <v>165.22790794121289</v>
      </c>
      <c r="J530" s="306">
        <f t="shared" ca="1" si="246"/>
        <v>298.03437486416794</v>
      </c>
      <c r="K530" s="307">
        <f t="shared" ca="1" si="247"/>
        <v>1123.8768606112135</v>
      </c>
      <c r="L530" s="304">
        <f t="shared" ca="1" si="232"/>
        <v>1162.7225319989257</v>
      </c>
      <c r="M530" s="306">
        <f t="shared" ca="1" si="248"/>
        <v>1.2660605275619485</v>
      </c>
      <c r="N530" s="304">
        <f t="shared" ca="1" si="249"/>
        <v>72.53992483740609</v>
      </c>
      <c r="P530" s="310">
        <f t="shared" ca="1" si="250"/>
        <v>23</v>
      </c>
      <c r="Q530" s="304">
        <f t="shared" ca="1" si="251"/>
        <v>0</v>
      </c>
      <c r="R530" s="306">
        <f t="shared" ca="1" si="252"/>
        <v>0</v>
      </c>
      <c r="S530" s="307">
        <f t="shared" ca="1" si="253"/>
        <v>12.409999999999973</v>
      </c>
      <c r="T530" s="304">
        <f t="shared" ca="1" si="233"/>
        <v>121.74209999999975</v>
      </c>
      <c r="U530" s="311">
        <f t="shared" ca="1" si="234"/>
        <v>0</v>
      </c>
      <c r="V530" s="306">
        <f t="shared" ca="1" si="235"/>
        <v>1.0946499545672035</v>
      </c>
      <c r="W530" s="304">
        <f t="shared" ca="1" si="236"/>
        <v>68.240502172232979</v>
      </c>
      <c r="Y530" s="314" t="str">
        <f t="shared" ca="1" si="254"/>
        <v/>
      </c>
      <c r="Z530" s="315" t="str">
        <f t="shared" ca="1" si="255"/>
        <v/>
      </c>
      <c r="AA530" s="316" t="str">
        <f t="shared" ca="1" si="256"/>
        <v/>
      </c>
      <c r="AC530" s="310" t="e">
        <f t="shared" ca="1" si="257"/>
        <v>#N/A</v>
      </c>
      <c r="AD530" s="323" t="e">
        <f t="shared" ca="1" si="258"/>
        <v>#N/A</v>
      </c>
      <c r="AE530" s="324">
        <f t="shared" ca="1" si="237"/>
        <v>1123.8768606112135</v>
      </c>
      <c r="AG530" s="306">
        <f t="shared" ca="1" si="259"/>
        <v>-14.97103158851003</v>
      </c>
      <c r="AH530" s="304">
        <f t="shared" ca="1" si="260"/>
        <v>-5.6078157880625188</v>
      </c>
    </row>
    <row r="531" spans="1:34" x14ac:dyDescent="0.25">
      <c r="A531" s="347">
        <f t="shared" ca="1" si="238"/>
        <v>0.1</v>
      </c>
      <c r="B531" s="304">
        <f t="shared" ca="1" si="239"/>
        <v>7.6999999999999282</v>
      </c>
      <c r="D531" s="306">
        <f t="shared" ca="1" si="240"/>
        <v>-1.6498758476518802</v>
      </c>
      <c r="E531" s="307">
        <f t="shared" ca="1" si="241"/>
        <v>-15.055480000845163</v>
      </c>
      <c r="F531" s="304">
        <f t="shared" ca="1" si="242"/>
        <v>15.14561218203192</v>
      </c>
      <c r="G531" s="306">
        <f t="shared" ca="1" si="243"/>
        <v>49.410185187548009</v>
      </c>
      <c r="H531" s="307">
        <f t="shared" ca="1" si="244"/>
        <v>156.10969176823619</v>
      </c>
      <c r="I531" s="304">
        <f t="shared" ca="1" si="245"/>
        <v>163.74248765742354</v>
      </c>
      <c r="J531" s="306">
        <f t="shared" ca="1" si="246"/>
        <v>302.98364276216103</v>
      </c>
      <c r="K531" s="307">
        <f t="shared" ca="1" si="247"/>
        <v>1139.5631071880414</v>
      </c>
      <c r="L531" s="304">
        <f t="shared" ca="1" si="232"/>
        <v>1179.1535790750465</v>
      </c>
      <c r="M531" s="306">
        <f t="shared" ca="1" si="248"/>
        <v>1.264262945649226</v>
      </c>
      <c r="N531" s="304">
        <f t="shared" ca="1" si="249"/>
        <v>72.436930980478039</v>
      </c>
      <c r="P531" s="310">
        <f t="shared" ca="1" si="250"/>
        <v>23</v>
      </c>
      <c r="Q531" s="304">
        <f t="shared" ca="1" si="251"/>
        <v>0</v>
      </c>
      <c r="R531" s="306">
        <f t="shared" ca="1" si="252"/>
        <v>0</v>
      </c>
      <c r="S531" s="307">
        <f t="shared" ca="1" si="253"/>
        <v>12.409999999999973</v>
      </c>
      <c r="T531" s="304">
        <f t="shared" ca="1" si="233"/>
        <v>121.74209999999975</v>
      </c>
      <c r="U531" s="311">
        <f t="shared" ca="1" si="234"/>
        <v>0</v>
      </c>
      <c r="V531" s="306">
        <f t="shared" ca="1" si="235"/>
        <v>1.092928698504589</v>
      </c>
      <c r="W531" s="304">
        <f t="shared" ca="1" si="236"/>
        <v>66.913653161650927</v>
      </c>
      <c r="Y531" s="314" t="str">
        <f t="shared" ca="1" si="254"/>
        <v/>
      </c>
      <c r="Z531" s="315" t="str">
        <f t="shared" ca="1" si="255"/>
        <v/>
      </c>
      <c r="AA531" s="316" t="str">
        <f t="shared" ca="1" si="256"/>
        <v/>
      </c>
      <c r="AC531" s="310" t="e">
        <f t="shared" ca="1" si="257"/>
        <v>#N/A</v>
      </c>
      <c r="AD531" s="323" t="e">
        <f t="shared" ca="1" si="258"/>
        <v>#N/A</v>
      </c>
      <c r="AE531" s="324">
        <f t="shared" ca="1" si="237"/>
        <v>1139.5631071880414</v>
      </c>
      <c r="AG531" s="306">
        <f t="shared" ca="1" si="259"/>
        <v>-14.85684834328331</v>
      </c>
      <c r="AH531" s="304">
        <f t="shared" ca="1" si="260"/>
        <v>-5.4988317624684226</v>
      </c>
    </row>
    <row r="532" spans="1:34" x14ac:dyDescent="0.25">
      <c r="A532" s="347">
        <f t="shared" ca="1" si="238"/>
        <v>0.1</v>
      </c>
      <c r="B532" s="304">
        <f t="shared" ca="1" si="239"/>
        <v>7.7999999999999279</v>
      </c>
      <c r="D532" s="306">
        <f t="shared" ca="1" si="240"/>
        <v>-1.6270393515183059</v>
      </c>
      <c r="E532" s="307">
        <f t="shared" ca="1" si="241"/>
        <v>-14.950571942732246</v>
      </c>
      <c r="F532" s="304">
        <f t="shared" ca="1" si="242"/>
        <v>15.038844984446172</v>
      </c>
      <c r="G532" s="306">
        <f t="shared" ca="1" si="243"/>
        <v>49.247481252396177</v>
      </c>
      <c r="H532" s="307">
        <f t="shared" ca="1" si="244"/>
        <v>154.61463457396297</v>
      </c>
      <c r="I532" s="304">
        <f t="shared" ca="1" si="245"/>
        <v>162.26829522166435</v>
      </c>
      <c r="J532" s="306">
        <f t="shared" ca="1" si="246"/>
        <v>307.91652608415825</v>
      </c>
      <c r="K532" s="307">
        <f t="shared" ca="1" si="247"/>
        <v>1155.0993235051512</v>
      </c>
      <c r="L532" s="304">
        <f t="shared" ca="1" si="232"/>
        <v>1195.4359180641152</v>
      </c>
      <c r="M532" s="306">
        <f t="shared" ca="1" si="248"/>
        <v>1.2624386691132206</v>
      </c>
      <c r="N532" s="304">
        <f t="shared" ca="1" si="249"/>
        <v>72.332407634300182</v>
      </c>
      <c r="P532" s="310">
        <f t="shared" ca="1" si="250"/>
        <v>23</v>
      </c>
      <c r="Q532" s="304">
        <f t="shared" ca="1" si="251"/>
        <v>0</v>
      </c>
      <c r="R532" s="306">
        <f t="shared" ca="1" si="252"/>
        <v>0</v>
      </c>
      <c r="S532" s="307">
        <f t="shared" ca="1" si="253"/>
        <v>12.409999999999973</v>
      </c>
      <c r="T532" s="304">
        <f t="shared" ca="1" si="233"/>
        <v>121.74209999999975</v>
      </c>
      <c r="U532" s="311">
        <f t="shared" ca="1" si="234"/>
        <v>0</v>
      </c>
      <c r="V532" s="306">
        <f t="shared" ca="1" si="235"/>
        <v>1.0912264213790173</v>
      </c>
      <c r="W532" s="304">
        <f t="shared" ca="1" si="236"/>
        <v>65.611861965414889</v>
      </c>
      <c r="Y532" s="314" t="str">
        <f t="shared" ca="1" si="254"/>
        <v/>
      </c>
      <c r="Z532" s="315" t="str">
        <f t="shared" ca="1" si="255"/>
        <v/>
      </c>
      <c r="AA532" s="316" t="str">
        <f t="shared" ca="1" si="256"/>
        <v/>
      </c>
      <c r="AC532" s="310" t="e">
        <f t="shared" ca="1" si="257"/>
        <v>#N/A</v>
      </c>
      <c r="AD532" s="323" t="e">
        <f t="shared" ca="1" si="258"/>
        <v>#N/A</v>
      </c>
      <c r="AE532" s="324">
        <f t="shared" ca="1" si="237"/>
        <v>1155.0993235051512</v>
      </c>
      <c r="AG532" s="306">
        <f t="shared" ca="1" si="259"/>
        <v>-14.744624489007887</v>
      </c>
      <c r="AH532" s="304">
        <f t="shared" ca="1" si="260"/>
        <v>-5.3919140339767182</v>
      </c>
    </row>
    <row r="533" spans="1:34" x14ac:dyDescent="0.25">
      <c r="A533" s="347">
        <f t="shared" ca="1" si="238"/>
        <v>0.1</v>
      </c>
      <c r="B533" s="304">
        <f t="shared" ca="1" si="239"/>
        <v>7.8999999999999275</v>
      </c>
      <c r="D533" s="306">
        <f t="shared" ca="1" si="240"/>
        <v>-1.6045783608910329</v>
      </c>
      <c r="E533" s="307">
        <f t="shared" ca="1" si="241"/>
        <v>-14.847644375008203</v>
      </c>
      <c r="F533" s="304">
        <f t="shared" ca="1" si="242"/>
        <v>14.934095727661333</v>
      </c>
      <c r="G533" s="306">
        <f t="shared" ca="1" si="243"/>
        <v>49.087023416307076</v>
      </c>
      <c r="H533" s="307">
        <f t="shared" ca="1" si="244"/>
        <v>153.12987013646216</v>
      </c>
      <c r="I533" s="304">
        <f t="shared" ca="1" si="245"/>
        <v>160.80513983042596</v>
      </c>
      <c r="J533" s="306">
        <f t="shared" ca="1" si="246"/>
        <v>312.83325131759341</v>
      </c>
      <c r="K533" s="307">
        <f t="shared" ca="1" si="247"/>
        <v>1170.4865487406726</v>
      </c>
      <c r="L533" s="304">
        <f t="shared" ca="1" si="232"/>
        <v>1211.5706351314345</v>
      </c>
      <c r="M533" s="306">
        <f t="shared" ca="1" si="248"/>
        <v>1.2605871863233593</v>
      </c>
      <c r="N533" s="304">
        <f t="shared" ca="1" si="249"/>
        <v>72.226325484600025</v>
      </c>
      <c r="P533" s="310">
        <f t="shared" ca="1" si="250"/>
        <v>23</v>
      </c>
      <c r="Q533" s="304">
        <f t="shared" ca="1" si="251"/>
        <v>0</v>
      </c>
      <c r="R533" s="306">
        <f t="shared" ca="1" si="252"/>
        <v>0</v>
      </c>
      <c r="S533" s="307">
        <f t="shared" ca="1" si="253"/>
        <v>12.409999999999973</v>
      </c>
      <c r="T533" s="304">
        <f t="shared" ca="1" si="233"/>
        <v>121.74209999999975</v>
      </c>
      <c r="U533" s="311">
        <f t="shared" ca="1" si="234"/>
        <v>0</v>
      </c>
      <c r="V533" s="306">
        <f t="shared" ca="1" si="235"/>
        <v>1.0895429316037506</v>
      </c>
      <c r="W533" s="304">
        <f t="shared" ca="1" si="236"/>
        <v>64.334561075399449</v>
      </c>
      <c r="Y533" s="314" t="str">
        <f t="shared" ca="1" si="254"/>
        <v/>
      </c>
      <c r="Z533" s="315" t="str">
        <f t="shared" ca="1" si="255"/>
        <v/>
      </c>
      <c r="AA533" s="316" t="str">
        <f t="shared" ca="1" si="256"/>
        <v/>
      </c>
      <c r="AC533" s="310" t="e">
        <f t="shared" ca="1" si="257"/>
        <v>#N/A</v>
      </c>
      <c r="AD533" s="323" t="e">
        <f t="shared" ca="1" si="258"/>
        <v>#N/A</v>
      </c>
      <c r="AE533" s="324">
        <f t="shared" ca="1" si="237"/>
        <v>1170.4865487406726</v>
      </c>
      <c r="AG533" s="306">
        <f t="shared" ca="1" si="259"/>
        <v>-14.634310102464113</v>
      </c>
      <c r="AH533" s="304">
        <f t="shared" ca="1" si="260"/>
        <v>-5.2870154686071738</v>
      </c>
    </row>
    <row r="534" spans="1:34" x14ac:dyDescent="0.25">
      <c r="A534" s="347">
        <f t="shared" ca="1" si="238"/>
        <v>0.1</v>
      </c>
      <c r="B534" s="304">
        <f t="shared" ca="1" si="239"/>
        <v>7.9999999999999272</v>
      </c>
      <c r="D534" s="306">
        <f t="shared" ca="1" si="240"/>
        <v>-1.5824840176510431</v>
      </c>
      <c r="E534" s="307">
        <f t="shared" ca="1" si="241"/>
        <v>-14.746652403238384</v>
      </c>
      <c r="F534" s="304">
        <f t="shared" ca="1" si="242"/>
        <v>14.831318645624785</v>
      </c>
      <c r="G534" s="306">
        <f t="shared" ca="1" si="243"/>
        <v>48.928775014541969</v>
      </c>
      <c r="H534" s="307">
        <f t="shared" ca="1" si="244"/>
        <v>151.65520489613832</v>
      </c>
      <c r="I534" s="304">
        <f t="shared" ca="1" si="245"/>
        <v>159.35283554588341</v>
      </c>
      <c r="J534" s="306">
        <f t="shared" ca="1" si="246"/>
        <v>317.73404123913588</v>
      </c>
      <c r="K534" s="307">
        <f t="shared" ca="1" si="247"/>
        <v>1185.7258024923026</v>
      </c>
      <c r="L534" s="304">
        <f t="shared" ca="1" si="232"/>
        <v>1227.5587968232592</v>
      </c>
      <c r="M534" s="306">
        <f t="shared" ca="1" si="248"/>
        <v>1.2587079723246517</v>
      </c>
      <c r="N534" s="304">
        <f t="shared" ca="1" si="249"/>
        <v>72.118654453672164</v>
      </c>
      <c r="P534" s="310">
        <f t="shared" ca="1" si="250"/>
        <v>23</v>
      </c>
      <c r="Q534" s="304">
        <f t="shared" ca="1" si="251"/>
        <v>0</v>
      </c>
      <c r="R534" s="306">
        <f t="shared" ca="1" si="252"/>
        <v>0</v>
      </c>
      <c r="S534" s="307">
        <f t="shared" ca="1" si="253"/>
        <v>12.409999999999973</v>
      </c>
      <c r="T534" s="304">
        <f t="shared" ca="1" si="233"/>
        <v>121.74209999999975</v>
      </c>
      <c r="U534" s="311">
        <f t="shared" ca="1" si="234"/>
        <v>0</v>
      </c>
      <c r="V534" s="306">
        <f t="shared" ca="1" si="235"/>
        <v>1.0878780414138849</v>
      </c>
      <c r="W534" s="304">
        <f t="shared" ca="1" si="236"/>
        <v>63.081199793483471</v>
      </c>
      <c r="Y534" s="314" t="str">
        <f t="shared" ca="1" si="254"/>
        <v/>
      </c>
      <c r="Z534" s="315" t="str">
        <f t="shared" ca="1" si="255"/>
        <v/>
      </c>
      <c r="AA534" s="316" t="str">
        <f t="shared" ca="1" si="256"/>
        <v/>
      </c>
      <c r="AC534" s="310">
        <f t="shared" ca="1" si="257"/>
        <v>7.9999999999999272</v>
      </c>
      <c r="AD534" s="323">
        <f t="shared" ca="1" si="258"/>
        <v>317.73404123913588</v>
      </c>
      <c r="AE534" s="324">
        <f t="shared" ca="1" si="237"/>
        <v>1185.7258024923026</v>
      </c>
      <c r="AG534" s="306">
        <f t="shared" ca="1" si="259"/>
        <v>-14.525856573670582</v>
      </c>
      <c r="AH534" s="304">
        <f t="shared" ca="1" si="260"/>
        <v>-5.1840903364544388</v>
      </c>
    </row>
    <row r="535" spans="1:34" x14ac:dyDescent="0.25">
      <c r="A535" s="347">
        <f t="shared" ca="1" si="238"/>
        <v>0.1</v>
      </c>
      <c r="B535" s="304">
        <f t="shared" ca="1" si="239"/>
        <v>8.0999999999999268</v>
      </c>
      <c r="D535" s="306">
        <f t="shared" ca="1" si="240"/>
        <v>-1.5607477248789281</v>
      </c>
      <c r="E535" s="307">
        <f t="shared" ca="1" si="241"/>
        <v>-14.647552461457455</v>
      </c>
      <c r="F535" s="304">
        <f t="shared" ca="1" si="242"/>
        <v>14.730469326259197</v>
      </c>
      <c r="G535" s="306">
        <f t="shared" ca="1" si="243"/>
        <v>48.772700242054079</v>
      </c>
      <c r="H535" s="307">
        <f t="shared" ca="1" si="244"/>
        <v>150.19044964999256</v>
      </c>
      <c r="I535" s="304">
        <f t="shared" ca="1" si="245"/>
        <v>157.91120117005067</v>
      </c>
      <c r="J535" s="306">
        <f t="shared" ca="1" si="246"/>
        <v>322.61911500196567</v>
      </c>
      <c r="K535" s="307">
        <f t="shared" ca="1" si="247"/>
        <v>1200.8180852196092</v>
      </c>
      <c r="L535" s="304">
        <f t="shared" ca="1" si="232"/>
        <v>1243.4014505199598</v>
      </c>
      <c r="M535" s="306">
        <f t="shared" ca="1" si="248"/>
        <v>1.2568004884257096</v>
      </c>
      <c r="N535" s="304">
        <f t="shared" ca="1" si="249"/>
        <v>72.009363676773631</v>
      </c>
      <c r="P535" s="310">
        <f t="shared" ca="1" si="250"/>
        <v>23</v>
      </c>
      <c r="Q535" s="304">
        <f t="shared" ca="1" si="251"/>
        <v>0</v>
      </c>
      <c r="R535" s="306">
        <f t="shared" ca="1" si="252"/>
        <v>0</v>
      </c>
      <c r="S535" s="307">
        <f t="shared" ca="1" si="253"/>
        <v>12.409999999999973</v>
      </c>
      <c r="T535" s="304">
        <f t="shared" ca="1" si="233"/>
        <v>121.74209999999975</v>
      </c>
      <c r="U535" s="311">
        <f t="shared" ca="1" si="234"/>
        <v>0</v>
      </c>
      <c r="V535" s="306">
        <f t="shared" ca="1" si="235"/>
        <v>1.0862315667743456</v>
      </c>
      <c r="W535" s="304">
        <f t="shared" ca="1" si="236"/>
        <v>61.85124364240388</v>
      </c>
      <c r="Y535" s="314" t="str">
        <f t="shared" ca="1" si="254"/>
        <v/>
      </c>
      <c r="Z535" s="315" t="str">
        <f t="shared" ca="1" si="255"/>
        <v/>
      </c>
      <c r="AA535" s="316" t="str">
        <f t="shared" ca="1" si="256"/>
        <v/>
      </c>
      <c r="AC535" s="310" t="e">
        <f t="shared" ca="1" si="257"/>
        <v>#N/A</v>
      </c>
      <c r="AD535" s="323" t="e">
        <f t="shared" ca="1" si="258"/>
        <v>#N/A</v>
      </c>
      <c r="AE535" s="324">
        <f t="shared" ca="1" si="237"/>
        <v>1200.8180852196092</v>
      </c>
      <c r="AG535" s="306">
        <f t="shared" ca="1" si="259"/>
        <v>-14.419216552897311</v>
      </c>
      <c r="AH535" s="304">
        <f t="shared" ca="1" si="260"/>
        <v>-5.083094262166286</v>
      </c>
    </row>
    <row r="536" spans="1:34" x14ac:dyDescent="0.25">
      <c r="A536" s="347">
        <f t="shared" ca="1" si="238"/>
        <v>0.1</v>
      </c>
      <c r="B536" s="304">
        <f t="shared" ca="1" si="239"/>
        <v>8.1999999999999265</v>
      </c>
      <c r="D536" s="306">
        <f t="shared" ca="1" si="240"/>
        <v>-1.539361137764512</v>
      </c>
      <c r="E536" s="307">
        <f t="shared" ca="1" si="241"/>
        <v>-14.550302265553613</v>
      </c>
      <c r="F536" s="304">
        <f t="shared" ca="1" si="242"/>
        <v>14.631504663958328</v>
      </c>
      <c r="G536" s="306">
        <f t="shared" ca="1" si="243"/>
        <v>48.618764128277626</v>
      </c>
      <c r="H536" s="307">
        <f t="shared" ca="1" si="244"/>
        <v>148.73541942343721</v>
      </c>
      <c r="I536" s="304">
        <f t="shared" ca="1" si="245"/>
        <v>156.48006012405182</v>
      </c>
      <c r="J536" s="306">
        <f t="shared" ca="1" si="246"/>
        <v>327.48868822048223</v>
      </c>
      <c r="K536" s="307">
        <f t="shared" ca="1" si="247"/>
        <v>1215.7643786732806</v>
      </c>
      <c r="L536" s="304">
        <f t="shared" ca="1" si="232"/>
        <v>1259.0996248761255</v>
      </c>
      <c r="M536" s="306">
        <f t="shared" ca="1" si="248"/>
        <v>1.2548641817719235</v>
      </c>
      <c r="N536" s="304">
        <f t="shared" ca="1" si="249"/>
        <v>71.898421477668592</v>
      </c>
      <c r="P536" s="310">
        <f t="shared" ca="1" si="250"/>
        <v>23</v>
      </c>
      <c r="Q536" s="304">
        <f t="shared" ca="1" si="251"/>
        <v>0</v>
      </c>
      <c r="R536" s="306">
        <f t="shared" ca="1" si="252"/>
        <v>0</v>
      </c>
      <c r="S536" s="307">
        <f t="shared" ca="1" si="253"/>
        <v>12.409999999999973</v>
      </c>
      <c r="T536" s="304">
        <f t="shared" ca="1" si="233"/>
        <v>121.74209999999975</v>
      </c>
      <c r="U536" s="311">
        <f t="shared" ca="1" si="234"/>
        <v>0</v>
      </c>
      <c r="V536" s="306">
        <f t="shared" ca="1" si="235"/>
        <v>1.0846033272907321</v>
      </c>
      <c r="W536" s="304">
        <f t="shared" ca="1" si="236"/>
        <v>60.644173800830963</v>
      </c>
      <c r="Y536" s="314" t="str">
        <f t="shared" ca="1" si="254"/>
        <v/>
      </c>
      <c r="Z536" s="315" t="str">
        <f t="shared" ca="1" si="255"/>
        <v/>
      </c>
      <c r="AA536" s="316" t="str">
        <f t="shared" ca="1" si="256"/>
        <v/>
      </c>
      <c r="AC536" s="310" t="e">
        <f t="shared" ca="1" si="257"/>
        <v>#N/A</v>
      </c>
      <c r="AD536" s="323" t="e">
        <f t="shared" ca="1" si="258"/>
        <v>#N/A</v>
      </c>
      <c r="AE536" s="324">
        <f t="shared" ca="1" si="237"/>
        <v>1215.7643786732806</v>
      </c>
      <c r="AG536" s="306">
        <f t="shared" ca="1" si="259"/>
        <v>-14.31434389957616</v>
      </c>
      <c r="AH536" s="304">
        <f t="shared" ca="1" si="260"/>
        <v>-4.9839841774701057</v>
      </c>
    </row>
    <row r="537" spans="1:34" x14ac:dyDescent="0.25">
      <c r="A537" s="347">
        <f t="shared" ca="1" si="238"/>
        <v>0.1</v>
      </c>
      <c r="B537" s="304">
        <f t="shared" ca="1" si="239"/>
        <v>8.2999999999999261</v>
      </c>
      <c r="D537" s="306">
        <f t="shared" ca="1" si="240"/>
        <v>-1.5183161548946116</v>
      </c>
      <c r="E537" s="307">
        <f t="shared" ca="1" si="241"/>
        <v>-14.454860768566615</v>
      </c>
      <c r="F537" s="304">
        <f t="shared" ca="1" si="242"/>
        <v>14.53438281403308</v>
      </c>
      <c r="G537" s="306">
        <f t="shared" ca="1" si="243"/>
        <v>48.466932512788162</v>
      </c>
      <c r="H537" s="307">
        <f t="shared" ca="1" si="244"/>
        <v>147.28993334658054</v>
      </c>
      <c r="I537" s="304">
        <f t="shared" ca="1" si="245"/>
        <v>155.05924033233009</v>
      </c>
      <c r="J537" s="306">
        <f t="shared" ca="1" si="246"/>
        <v>332.34297305253551</v>
      </c>
      <c r="K537" s="307">
        <f t="shared" ca="1" si="247"/>
        <v>1230.5656463117814</v>
      </c>
      <c r="L537" s="304">
        <f t="shared" ca="1" si="232"/>
        <v>1274.6543302480602</v>
      </c>
      <c r="M537" s="306">
        <f t="shared" ca="1" si="248"/>
        <v>1.252898484903211</v>
      </c>
      <c r="N537" s="304">
        <f t="shared" ca="1" si="249"/>
        <v>71.78579534328928</v>
      </c>
      <c r="P537" s="310">
        <f t="shared" ca="1" si="250"/>
        <v>23</v>
      </c>
      <c r="Q537" s="304">
        <f t="shared" ca="1" si="251"/>
        <v>0</v>
      </c>
      <c r="R537" s="306">
        <f t="shared" ca="1" si="252"/>
        <v>0</v>
      </c>
      <c r="S537" s="307">
        <f t="shared" ca="1" si="253"/>
        <v>12.409999999999973</v>
      </c>
      <c r="T537" s="304">
        <f t="shared" ca="1" si="233"/>
        <v>121.74209999999975</v>
      </c>
      <c r="U537" s="311">
        <f t="shared" ca="1" si="234"/>
        <v>0</v>
      </c>
      <c r="V537" s="306">
        <f t="shared" ca="1" si="235"/>
        <v>1.0829931461229054</v>
      </c>
      <c r="W537" s="304">
        <f t="shared" ca="1" si="236"/>
        <v>59.459486561532159</v>
      </c>
      <c r="Y537" s="314" t="str">
        <f t="shared" ca="1" si="254"/>
        <v/>
      </c>
      <c r="Z537" s="315" t="str">
        <f t="shared" ca="1" si="255"/>
        <v/>
      </c>
      <c r="AA537" s="316" t="str">
        <f t="shared" ca="1" si="256"/>
        <v/>
      </c>
      <c r="AC537" s="310" t="e">
        <f t="shared" ca="1" si="257"/>
        <v>#N/A</v>
      </c>
      <c r="AD537" s="323" t="e">
        <f t="shared" ca="1" si="258"/>
        <v>#N/A</v>
      </c>
      <c r="AE537" s="324">
        <f t="shared" ca="1" si="237"/>
        <v>1230.5656463117814</v>
      </c>
      <c r="AG537" s="306">
        <f t="shared" ca="1" si="259"/>
        <v>-14.211193633004701</v>
      </c>
      <c r="AH537" s="304">
        <f t="shared" ca="1" si="260"/>
        <v>-4.8867182756511758</v>
      </c>
    </row>
    <row r="538" spans="1:34" x14ac:dyDescent="0.25">
      <c r="A538" s="347">
        <f t="shared" ca="1" si="238"/>
        <v>0.1</v>
      </c>
      <c r="B538" s="304">
        <f t="shared" ca="1" si="239"/>
        <v>8.3999999999999257</v>
      </c>
      <c r="D538" s="306">
        <f t="shared" ca="1" si="240"/>
        <v>-1.4976049099014472</v>
      </c>
      <c r="E538" s="307">
        <f t="shared" ca="1" si="241"/>
        <v>-14.361188117809903</v>
      </c>
      <c r="F538" s="304">
        <f t="shared" ca="1" si="242"/>
        <v>14.439063149016466</v>
      </c>
      <c r="G538" s="306">
        <f t="shared" ca="1" si="243"/>
        <v>48.317172021798015</v>
      </c>
      <c r="H538" s="307">
        <f t="shared" ca="1" si="244"/>
        <v>145.85381453479954</v>
      </c>
      <c r="I538" s="304">
        <f t="shared" ca="1" si="245"/>
        <v>153.64857411162566</v>
      </c>
      <c r="J538" s="306">
        <f t="shared" ca="1" si="246"/>
        <v>337.1821782792648</v>
      </c>
      <c r="K538" s="307">
        <f t="shared" ca="1" si="247"/>
        <v>1245.2228337058505</v>
      </c>
      <c r="L538" s="304">
        <f t="shared" ca="1" si="232"/>
        <v>1290.0665591090942</v>
      </c>
      <c r="M538" s="306">
        <f t="shared" ca="1" si="248"/>
        <v>1.2509028152957231</v>
      </c>
      <c r="N538" s="304">
        <f t="shared" ca="1" si="249"/>
        <v>71.671451897477695</v>
      </c>
      <c r="P538" s="310">
        <f t="shared" ca="1" si="250"/>
        <v>23</v>
      </c>
      <c r="Q538" s="304">
        <f t="shared" ca="1" si="251"/>
        <v>0</v>
      </c>
      <c r="R538" s="306">
        <f t="shared" ca="1" si="252"/>
        <v>0</v>
      </c>
      <c r="S538" s="307">
        <f t="shared" ca="1" si="253"/>
        <v>12.409999999999973</v>
      </c>
      <c r="T538" s="304">
        <f t="shared" ca="1" si="233"/>
        <v>121.74209999999975</v>
      </c>
      <c r="U538" s="311">
        <f t="shared" ca="1" si="234"/>
        <v>0</v>
      </c>
      <c r="V538" s="306">
        <f t="shared" ca="1" si="235"/>
        <v>1.0814008499012211</v>
      </c>
      <c r="W538" s="304">
        <f t="shared" ca="1" si="236"/>
        <v>58.296692811549846</v>
      </c>
      <c r="Y538" s="314" t="str">
        <f t="shared" ca="1" si="254"/>
        <v/>
      </c>
      <c r="Z538" s="315" t="str">
        <f t="shared" ca="1" si="255"/>
        <v/>
      </c>
      <c r="AA538" s="316" t="str">
        <f t="shared" ca="1" si="256"/>
        <v/>
      </c>
      <c r="AC538" s="310" t="e">
        <f t="shared" ca="1" si="257"/>
        <v>#N/A</v>
      </c>
      <c r="AD538" s="323" t="e">
        <f t="shared" ca="1" si="258"/>
        <v>#N/A</v>
      </c>
      <c r="AE538" s="324">
        <f t="shared" ca="1" si="237"/>
        <v>1245.2228337058505</v>
      </c>
      <c r="AG538" s="306">
        <f t="shared" ca="1" si="259"/>
        <v>-14.109721884744527</v>
      </c>
      <c r="AH538" s="304">
        <f t="shared" ca="1" si="260"/>
        <v>-4.7912559678914013</v>
      </c>
    </row>
    <row r="539" spans="1:34" x14ac:dyDescent="0.25">
      <c r="A539" s="347">
        <f t="shared" ca="1" si="238"/>
        <v>0.1</v>
      </c>
      <c r="B539" s="304">
        <f t="shared" ca="1" si="239"/>
        <v>8.4999999999999254</v>
      </c>
      <c r="D539" s="306">
        <f t="shared" ca="1" si="240"/>
        <v>-1.4772197634551567</v>
      </c>
      <c r="E539" s="307">
        <f t="shared" ca="1" si="241"/>
        <v>-14.269245613731826</v>
      </c>
      <c r="F539" s="304">
        <f t="shared" ca="1" si="242"/>
        <v>14.345506216740748</v>
      </c>
      <c r="G539" s="306">
        <f t="shared" ca="1" si="243"/>
        <v>48.1694500454525</v>
      </c>
      <c r="H539" s="307">
        <f t="shared" ca="1" si="244"/>
        <v>144.42688997342637</v>
      </c>
      <c r="I539" s="304">
        <f t="shared" ca="1" si="245"/>
        <v>152.24789806456295</v>
      </c>
      <c r="J539" s="306">
        <f t="shared" ca="1" si="246"/>
        <v>342.00650938262731</v>
      </c>
      <c r="K539" s="307">
        <f t="shared" ca="1" si="247"/>
        <v>1259.7368689312618</v>
      </c>
      <c r="L539" s="304">
        <f t="shared" ca="1" si="232"/>
        <v>1305.3372864531329</v>
      </c>
      <c r="M539" s="306">
        <f t="shared" ca="1" si="248"/>
        <v>1.2488765748868702</v>
      </c>
      <c r="N539" s="304">
        <f t="shared" ca="1" si="249"/>
        <v>71.555356873771558</v>
      </c>
      <c r="P539" s="310">
        <f t="shared" ca="1" si="250"/>
        <v>23</v>
      </c>
      <c r="Q539" s="304">
        <f t="shared" ca="1" si="251"/>
        <v>0</v>
      </c>
      <c r="R539" s="306">
        <f t="shared" ca="1" si="252"/>
        <v>0</v>
      </c>
      <c r="S539" s="307">
        <f t="shared" ca="1" si="253"/>
        <v>12.409999999999973</v>
      </c>
      <c r="T539" s="304">
        <f t="shared" ca="1" si="233"/>
        <v>121.74209999999975</v>
      </c>
      <c r="U539" s="311">
        <f t="shared" ca="1" si="234"/>
        <v>0</v>
      </c>
      <c r="V539" s="306">
        <f t="shared" ca="1" si="235"/>
        <v>1.0798262686453119</v>
      </c>
      <c r="W539" s="304">
        <f t="shared" ca="1" si="236"/>
        <v>57.155317533375978</v>
      </c>
      <c r="Y539" s="314" t="str">
        <f t="shared" ca="1" si="254"/>
        <v/>
      </c>
      <c r="Z539" s="315" t="str">
        <f t="shared" ca="1" si="255"/>
        <v/>
      </c>
      <c r="AA539" s="316" t="str">
        <f t="shared" ca="1" si="256"/>
        <v/>
      </c>
      <c r="AC539" s="310" t="e">
        <f t="shared" ca="1" si="257"/>
        <v>#N/A</v>
      </c>
      <c r="AD539" s="323" t="e">
        <f t="shared" ca="1" si="258"/>
        <v>#N/A</v>
      </c>
      <c r="AE539" s="324">
        <f t="shared" ca="1" si="237"/>
        <v>1259.7368689312618</v>
      </c>
      <c r="AG539" s="306">
        <f t="shared" ca="1" si="259"/>
        <v>-14.009885852619391</v>
      </c>
      <c r="AH539" s="304">
        <f t="shared" ca="1" si="260"/>
        <v>-4.6975578413819479</v>
      </c>
    </row>
    <row r="540" spans="1:34" x14ac:dyDescent="0.25">
      <c r="A540" s="347">
        <f t="shared" ca="1" si="238"/>
        <v>0.1</v>
      </c>
      <c r="B540" s="304">
        <f t="shared" ca="1" si="239"/>
        <v>8.599999999999925</v>
      </c>
      <c r="D540" s="306">
        <f t="shared" ca="1" si="240"/>
        <v>-1.4571532955847661</v>
      </c>
      <c r="E540" s="307">
        <f t="shared" ca="1" si="241"/>
        <v>-14.178995670435407</v>
      </c>
      <c r="F540" s="304">
        <f t="shared" ca="1" si="242"/>
        <v>14.253673700104811</v>
      </c>
      <c r="G540" s="306">
        <f t="shared" ca="1" si="243"/>
        <v>48.023734715894022</v>
      </c>
      <c r="H540" s="307">
        <f t="shared" ca="1" si="244"/>
        <v>143.00899040638282</v>
      </c>
      <c r="I540" s="304">
        <f t="shared" ca="1" si="245"/>
        <v>150.85705297769627</v>
      </c>
      <c r="J540" s="306">
        <f t="shared" ca="1" si="246"/>
        <v>346.81616862069461</v>
      </c>
      <c r="K540" s="307">
        <f t="shared" ca="1" si="247"/>
        <v>1274.1086629502522</v>
      </c>
      <c r="L540" s="304">
        <f t="shared" ca="1" si="232"/>
        <v>1320.4674701868341</v>
      </c>
      <c r="M540" s="306">
        <f t="shared" ca="1" si="248"/>
        <v>1.2468191495830028</v>
      </c>
      <c r="N540" s="304">
        <f t="shared" ca="1" si="249"/>
        <v>71.437475087196532</v>
      </c>
      <c r="P540" s="310">
        <f t="shared" ca="1" si="250"/>
        <v>23</v>
      </c>
      <c r="Q540" s="304">
        <f t="shared" ca="1" si="251"/>
        <v>0</v>
      </c>
      <c r="R540" s="306">
        <f t="shared" ca="1" si="252"/>
        <v>0</v>
      </c>
      <c r="S540" s="307">
        <f t="shared" ca="1" si="253"/>
        <v>12.409999999999973</v>
      </c>
      <c r="T540" s="304">
        <f t="shared" ca="1" si="233"/>
        <v>121.74209999999975</v>
      </c>
      <c r="U540" s="311">
        <f t="shared" ca="1" si="234"/>
        <v>0</v>
      </c>
      <c r="V540" s="306">
        <f t="shared" ca="1" si="235"/>
        <v>1.0782692356853258</v>
      </c>
      <c r="W540" s="304">
        <f t="shared" ca="1" si="236"/>
        <v>56.034899326157522</v>
      </c>
      <c r="Y540" s="314" t="str">
        <f t="shared" ca="1" si="254"/>
        <v/>
      </c>
      <c r="Z540" s="315" t="str">
        <f t="shared" ca="1" si="255"/>
        <v/>
      </c>
      <c r="AA540" s="316" t="str">
        <f t="shared" ca="1" si="256"/>
        <v/>
      </c>
      <c r="AC540" s="310" t="e">
        <f t="shared" ca="1" si="257"/>
        <v>#N/A</v>
      </c>
      <c r="AD540" s="323" t="e">
        <f t="shared" ca="1" si="258"/>
        <v>#N/A</v>
      </c>
      <c r="AE540" s="324">
        <f t="shared" ca="1" si="237"/>
        <v>1274.1086629502522</v>
      </c>
      <c r="AG540" s="306">
        <f t="shared" ca="1" si="259"/>
        <v>-13.911643756222654</v>
      </c>
      <c r="AH540" s="304">
        <f t="shared" ca="1" si="260"/>
        <v>-4.6055856191278082</v>
      </c>
    </row>
    <row r="541" spans="1:34" x14ac:dyDescent="0.25">
      <c r="A541" s="347">
        <f t="shared" ca="1" si="238"/>
        <v>0.1</v>
      </c>
      <c r="B541" s="304">
        <f t="shared" ca="1" si="239"/>
        <v>8.6999999999999247</v>
      </c>
      <c r="D541" s="306">
        <f t="shared" ca="1" si="240"/>
        <v>-1.4373982983127429</v>
      </c>
      <c r="E541" s="307">
        <f t="shared" ca="1" si="241"/>
        <v>-14.090401777780212</v>
      </c>
      <c r="F541" s="304">
        <f t="shared" ca="1" si="242"/>
        <v>14.163528378453728</v>
      </c>
      <c r="G541" s="306">
        <f t="shared" ca="1" si="243"/>
        <v>47.879994886062747</v>
      </c>
      <c r="H541" s="307">
        <f t="shared" ca="1" si="244"/>
        <v>141.5999502286048</v>
      </c>
      <c r="I541" s="304">
        <f t="shared" ca="1" si="245"/>
        <v>149.47588372387281</v>
      </c>
      <c r="J541" s="306">
        <f t="shared" ca="1" si="246"/>
        <v>351.61135510079242</v>
      </c>
      <c r="K541" s="307">
        <f t="shared" ca="1" si="247"/>
        <v>1288.3391099820017</v>
      </c>
      <c r="L541" s="304">
        <f t="shared" ca="1" si="232"/>
        <v>1335.4580515108034</v>
      </c>
      <c r="M541" s="306">
        <f t="shared" ca="1" si="248"/>
        <v>1.2447299087490564</v>
      </c>
      <c r="N541" s="304">
        <f t="shared" ca="1" si="249"/>
        <v>71.317770405025016</v>
      </c>
      <c r="P541" s="310">
        <f t="shared" ca="1" si="250"/>
        <v>23</v>
      </c>
      <c r="Q541" s="304">
        <f t="shared" ca="1" si="251"/>
        <v>0</v>
      </c>
      <c r="R541" s="306">
        <f t="shared" ca="1" si="252"/>
        <v>0</v>
      </c>
      <c r="S541" s="307">
        <f t="shared" ca="1" si="253"/>
        <v>12.409999999999973</v>
      </c>
      <c r="T541" s="304">
        <f t="shared" ca="1" si="233"/>
        <v>121.74209999999975</v>
      </c>
      <c r="U541" s="311">
        <f t="shared" ca="1" si="234"/>
        <v>0</v>
      </c>
      <c r="V541" s="306">
        <f t="shared" ca="1" si="235"/>
        <v>1.0767295875855405</v>
      </c>
      <c r="W541" s="304">
        <f t="shared" ca="1" si="236"/>
        <v>54.93498994601854</v>
      </c>
      <c r="Y541" s="314" t="str">
        <f t="shared" ca="1" si="254"/>
        <v/>
      </c>
      <c r="Z541" s="315" t="str">
        <f t="shared" ca="1" si="255"/>
        <v/>
      </c>
      <c r="AA541" s="316" t="str">
        <f t="shared" ca="1" si="256"/>
        <v/>
      </c>
      <c r="AC541" s="310" t="e">
        <f t="shared" ca="1" si="257"/>
        <v>#N/A</v>
      </c>
      <c r="AD541" s="323" t="e">
        <f t="shared" ca="1" si="258"/>
        <v>#N/A</v>
      </c>
      <c r="AE541" s="324">
        <f t="shared" ca="1" si="237"/>
        <v>1288.3391099820017</v>
      </c>
      <c r="AG541" s="306">
        <f t="shared" ca="1" si="259"/>
        <v>-13.814954793847281</v>
      </c>
      <c r="AH541" s="304">
        <f t="shared" ca="1" si="260"/>
        <v>-4.5153021213664495</v>
      </c>
    </row>
    <row r="542" spans="1:34" x14ac:dyDescent="0.25">
      <c r="A542" s="347">
        <f t="shared" ca="1" si="238"/>
        <v>0.1</v>
      </c>
      <c r="B542" s="304">
        <f t="shared" ca="1" si="239"/>
        <v>8.7999999999999243</v>
      </c>
      <c r="D542" s="306">
        <f t="shared" ca="1" si="240"/>
        <v>-1.4179477685890942</v>
      </c>
      <c r="E542" s="307">
        <f t="shared" ca="1" si="241"/>
        <v>-14.003428464993881</v>
      </c>
      <c r="F542" s="304">
        <f t="shared" ca="1" si="242"/>
        <v>14.075034090496821</v>
      </c>
      <c r="G542" s="306">
        <f t="shared" ca="1" si="243"/>
        <v>47.738200109203838</v>
      </c>
      <c r="H542" s="307">
        <f t="shared" ca="1" si="244"/>
        <v>140.1996073821054</v>
      </c>
      <c r="I542" s="304">
        <f t="shared" ca="1" si="245"/>
        <v>148.104239168779</v>
      </c>
      <c r="J542" s="306">
        <f t="shared" ca="1" si="246"/>
        <v>356.39226485055576</v>
      </c>
      <c r="K542" s="307">
        <f t="shared" ca="1" si="247"/>
        <v>1302.4290878625372</v>
      </c>
      <c r="L542" s="304">
        <f t="shared" ca="1" si="232"/>
        <v>1350.3099552901731</v>
      </c>
      <c r="M542" s="306">
        <f t="shared" ca="1" si="248"/>
        <v>1.2426082046794376</v>
      </c>
      <c r="N542" s="304">
        <f t="shared" ca="1" si="249"/>
        <v>71.196205716460128</v>
      </c>
      <c r="P542" s="310">
        <f t="shared" ca="1" si="250"/>
        <v>23</v>
      </c>
      <c r="Q542" s="304">
        <f t="shared" ca="1" si="251"/>
        <v>0</v>
      </c>
      <c r="R542" s="306">
        <f t="shared" ca="1" si="252"/>
        <v>0</v>
      </c>
      <c r="S542" s="307">
        <f t="shared" ca="1" si="253"/>
        <v>12.409999999999973</v>
      </c>
      <c r="T542" s="304">
        <f t="shared" ca="1" si="233"/>
        <v>121.74209999999975</v>
      </c>
      <c r="U542" s="311">
        <f t="shared" ca="1" si="234"/>
        <v>0</v>
      </c>
      <c r="V542" s="306">
        <f t="shared" ca="1" si="235"/>
        <v>1.0752071640702554</v>
      </c>
      <c r="W542" s="304">
        <f t="shared" ca="1" si="236"/>
        <v>53.855153864629607</v>
      </c>
      <c r="Y542" s="314" t="str">
        <f t="shared" ca="1" si="254"/>
        <v/>
      </c>
      <c r="Z542" s="315" t="str">
        <f t="shared" ca="1" si="255"/>
        <v/>
      </c>
      <c r="AA542" s="316" t="str">
        <f t="shared" ca="1" si="256"/>
        <v/>
      </c>
      <c r="AC542" s="310" t="e">
        <f t="shared" ca="1" si="257"/>
        <v>#N/A</v>
      </c>
      <c r="AD542" s="323" t="e">
        <f t="shared" ca="1" si="258"/>
        <v>#N/A</v>
      </c>
      <c r="AE542" s="324">
        <f t="shared" ca="1" si="237"/>
        <v>1302.4290878625372</v>
      </c>
      <c r="AG542" s="306">
        <f t="shared" ca="1" si="259"/>
        <v>-13.719779100755243</v>
      </c>
      <c r="AH542" s="304">
        <f t="shared" ca="1" si="260"/>
        <v>-4.4266712285268861</v>
      </c>
    </row>
    <row r="543" spans="1:34" x14ac:dyDescent="0.25">
      <c r="A543" s="347">
        <f t="shared" ca="1" si="238"/>
        <v>0.1</v>
      </c>
      <c r="B543" s="304">
        <f t="shared" ca="1" si="239"/>
        <v>8.899999999999924</v>
      </c>
      <c r="D543" s="306">
        <f t="shared" ca="1" si="240"/>
        <v>-1.3987949015116605</v>
      </c>
      <c r="E543" s="307">
        <f t="shared" ca="1" si="241"/>
        <v>-13.91804126572455</v>
      </c>
      <c r="F543" s="304">
        <f t="shared" ca="1" si="242"/>
        <v>13.988155698694037</v>
      </c>
      <c r="G543" s="306">
        <f t="shared" ca="1" si="243"/>
        <v>47.598320619052672</v>
      </c>
      <c r="H543" s="307">
        <f t="shared" ca="1" si="244"/>
        <v>138.80780325553295</v>
      </c>
      <c r="I543" s="304">
        <f t="shared" ca="1" si="245"/>
        <v>146.74197208154482</v>
      </c>
      <c r="J543" s="306">
        <f t="shared" ca="1" si="246"/>
        <v>361.15909088696861</v>
      </c>
      <c r="K543" s="307">
        <f t="shared" ca="1" si="247"/>
        <v>1316.3794583944191</v>
      </c>
      <c r="L543" s="304">
        <f t="shared" ca="1" si="232"/>
        <v>1365.0240904149223</v>
      </c>
      <c r="M543" s="306">
        <f t="shared" ca="1" si="248"/>
        <v>1.2404533720494013</v>
      </c>
      <c r="N543" s="304">
        <f t="shared" ca="1" si="249"/>
        <v>71.072742901201977</v>
      </c>
      <c r="P543" s="310">
        <f t="shared" ca="1" si="250"/>
        <v>23</v>
      </c>
      <c r="Q543" s="304">
        <f t="shared" ca="1" si="251"/>
        <v>0</v>
      </c>
      <c r="R543" s="306">
        <f t="shared" ca="1" si="252"/>
        <v>0</v>
      </c>
      <c r="S543" s="307">
        <f t="shared" ca="1" si="253"/>
        <v>12.409999999999973</v>
      </c>
      <c r="T543" s="304">
        <f t="shared" ca="1" si="233"/>
        <v>121.74209999999975</v>
      </c>
      <c r="U543" s="311">
        <f t="shared" ca="1" si="234"/>
        <v>0</v>
      </c>
      <c r="V543" s="306">
        <f t="shared" ca="1" si="235"/>
        <v>1.0737018079519005</v>
      </c>
      <c r="W543" s="304">
        <f t="shared" ca="1" si="236"/>
        <v>52.794967845201512</v>
      </c>
      <c r="Y543" s="314" t="str">
        <f t="shared" ca="1" si="254"/>
        <v/>
      </c>
      <c r="Z543" s="315" t="str">
        <f t="shared" ca="1" si="255"/>
        <v/>
      </c>
      <c r="AA543" s="316" t="str">
        <f t="shared" ca="1" si="256"/>
        <v/>
      </c>
      <c r="AC543" s="310" t="e">
        <f t="shared" ca="1" si="257"/>
        <v>#N/A</v>
      </c>
      <c r="AD543" s="323" t="e">
        <f t="shared" ca="1" si="258"/>
        <v>#N/A</v>
      </c>
      <c r="AE543" s="324">
        <f t="shared" ca="1" si="237"/>
        <v>1316.3794583944191</v>
      </c>
      <c r="AG543" s="306">
        <f t="shared" ca="1" si="259"/>
        <v>-13.626077708706401</v>
      </c>
      <c r="AH543" s="304">
        <f t="shared" ca="1" si="260"/>
        <v>-4.339657845659123</v>
      </c>
    </row>
    <row r="544" spans="1:34" x14ac:dyDescent="0.25">
      <c r="A544" s="347">
        <f t="shared" ca="1" si="238"/>
        <v>0.1</v>
      </c>
      <c r="B544" s="304">
        <f t="shared" ca="1" si="239"/>
        <v>8.9999999999999236</v>
      </c>
      <c r="D544" s="306">
        <f t="shared" ca="1" si="240"/>
        <v>-1.3799330838199892</v>
      </c>
      <c r="E544" s="307">
        <f t="shared" ca="1" si="241"/>
        <v>-13.834206684468906</v>
      </c>
      <c r="F544" s="304">
        <f t="shared" ca="1" si="242"/>
        <v>13.902859055044223</v>
      </c>
      <c r="G544" s="306">
        <f t="shared" ca="1" si="243"/>
        <v>47.460327310670671</v>
      </c>
      <c r="H544" s="307">
        <f t="shared" ca="1" si="244"/>
        <v>137.42438258708606</v>
      </c>
      <c r="I544" s="304">
        <f t="shared" ca="1" si="245"/>
        <v>145.38893904928872</v>
      </c>
      <c r="J544" s="306">
        <f t="shared" ca="1" si="246"/>
        <v>365.9120232834548</v>
      </c>
      <c r="K544" s="307">
        <f t="shared" ca="1" si="247"/>
        <v>1330.19106768655</v>
      </c>
      <c r="L544" s="304">
        <f t="shared" ca="1" si="232"/>
        <v>1379.60135015028</v>
      </c>
      <c r="M544" s="306">
        <f t="shared" ca="1" si="248"/>
        <v>1.2382647273461376</v>
      </c>
      <c r="N544" s="304">
        <f t="shared" ca="1" si="249"/>
        <v>70.947342796851302</v>
      </c>
      <c r="P544" s="310">
        <f t="shared" ca="1" si="250"/>
        <v>23</v>
      </c>
      <c r="Q544" s="304">
        <f t="shared" ca="1" si="251"/>
        <v>0</v>
      </c>
      <c r="R544" s="306">
        <f t="shared" ca="1" si="252"/>
        <v>0</v>
      </c>
      <c r="S544" s="307">
        <f t="shared" ca="1" si="253"/>
        <v>12.409999999999973</v>
      </c>
      <c r="T544" s="304">
        <f t="shared" ca="1" si="233"/>
        <v>121.74209999999975</v>
      </c>
      <c r="U544" s="311">
        <f t="shared" ca="1" si="234"/>
        <v>0</v>
      </c>
      <c r="V544" s="306">
        <f t="shared" ca="1" si="235"/>
        <v>1.0722133650612671</v>
      </c>
      <c r="W544" s="304">
        <f t="shared" ca="1" si="236"/>
        <v>51.754020535120468</v>
      </c>
      <c r="Y544" s="314" t="str">
        <f t="shared" ca="1" si="254"/>
        <v/>
      </c>
      <c r="Z544" s="315" t="str">
        <f t="shared" ca="1" si="255"/>
        <v/>
      </c>
      <c r="AA544" s="316" t="str">
        <f t="shared" ca="1" si="256"/>
        <v/>
      </c>
      <c r="AC544" s="310">
        <f t="shared" ca="1" si="257"/>
        <v>8.9999999999999236</v>
      </c>
      <c r="AD544" s="323">
        <f t="shared" ca="1" si="258"/>
        <v>365.9120232834548</v>
      </c>
      <c r="AE544" s="324">
        <f t="shared" ca="1" si="237"/>
        <v>1330.19106768655</v>
      </c>
      <c r="AG544" s="306">
        <f t="shared" ca="1" si="259"/>
        <v>-13.533812506670065</v>
      </c>
      <c r="AH544" s="304">
        <f t="shared" ca="1" si="260"/>
        <v>-4.2542278682676571</v>
      </c>
    </row>
    <row r="545" spans="1:34" x14ac:dyDescent="0.25">
      <c r="A545" s="347">
        <f t="shared" ca="1" si="238"/>
        <v>0.1</v>
      </c>
      <c r="B545" s="304">
        <f t="shared" ca="1" si="239"/>
        <v>9.0999999999999233</v>
      </c>
      <c r="D545" s="306">
        <f t="shared" ca="1" si="240"/>
        <v>-1.361355887650801</v>
      </c>
      <c r="E545" s="307">
        <f t="shared" ca="1" si="241"/>
        <v>-13.751892164313904</v>
      </c>
      <c r="F545" s="304">
        <f t="shared" ca="1" si="242"/>
        <v>13.819110968212089</v>
      </c>
      <c r="G545" s="306">
        <f t="shared" ca="1" si="243"/>
        <v>47.324191721905592</v>
      </c>
      <c r="H545" s="307">
        <f t="shared" ca="1" si="244"/>
        <v>136.04919337065468</v>
      </c>
      <c r="I545" s="304">
        <f t="shared" ca="1" si="245"/>
        <v>144.04500039549262</v>
      </c>
      <c r="J545" s="306">
        <f t="shared" ca="1" si="246"/>
        <v>370.65124923508364</v>
      </c>
      <c r="K545" s="307">
        <f t="shared" ca="1" si="247"/>
        <v>1343.8647464844371</v>
      </c>
      <c r="L545" s="304">
        <f t="shared" ca="1" si="232"/>
        <v>1394.0426124775413</v>
      </c>
      <c r="M545" s="306">
        <f t="shared" ca="1" si="248"/>
        <v>1.236041568278752</v>
      </c>
      <c r="N545" s="304">
        <f t="shared" ca="1" si="249"/>
        <v>70.819965165103866</v>
      </c>
      <c r="P545" s="310">
        <f t="shared" ca="1" si="250"/>
        <v>23</v>
      </c>
      <c r="Q545" s="304">
        <f t="shared" ca="1" si="251"/>
        <v>0</v>
      </c>
      <c r="R545" s="306">
        <f t="shared" ca="1" si="252"/>
        <v>0</v>
      </c>
      <c r="S545" s="307">
        <f t="shared" ca="1" si="253"/>
        <v>12.409999999999973</v>
      </c>
      <c r="T545" s="304">
        <f t="shared" ca="1" si="233"/>
        <v>121.74209999999975</v>
      </c>
      <c r="U545" s="311">
        <f t="shared" ca="1" si="234"/>
        <v>0</v>
      </c>
      <c r="V545" s="306">
        <f t="shared" ca="1" si="235"/>
        <v>1.0707416841797981</v>
      </c>
      <c r="W545" s="304">
        <f t="shared" ca="1" si="236"/>
        <v>50.731912074482331</v>
      </c>
      <c r="Y545" s="314" t="str">
        <f t="shared" ca="1" si="254"/>
        <v/>
      </c>
      <c r="Z545" s="315" t="str">
        <f t="shared" ca="1" si="255"/>
        <v/>
      </c>
      <c r="AA545" s="316" t="str">
        <f t="shared" ca="1" si="256"/>
        <v/>
      </c>
      <c r="AC545" s="310" t="e">
        <f t="shared" ca="1" si="257"/>
        <v>#N/A</v>
      </c>
      <c r="AD545" s="323" t="e">
        <f t="shared" ca="1" si="258"/>
        <v>#N/A</v>
      </c>
      <c r="AE545" s="324">
        <f t="shared" ca="1" si="237"/>
        <v>1343.8647464844371</v>
      </c>
      <c r="AG545" s="306">
        <f t="shared" ca="1" si="259"/>
        <v>-13.442946202645132</v>
      </c>
      <c r="AH545" s="304">
        <f t="shared" ca="1" si="260"/>
        <v>-4.1703481494859451</v>
      </c>
    </row>
    <row r="546" spans="1:34" x14ac:dyDescent="0.25">
      <c r="A546" s="347">
        <f t="shared" ca="1" si="238"/>
        <v>0.1</v>
      </c>
      <c r="B546" s="304">
        <f t="shared" ca="1" si="239"/>
        <v>9.1999999999999229</v>
      </c>
      <c r="D546" s="306">
        <f t="shared" ca="1" si="240"/>
        <v>-1.3430570645436928</v>
      </c>
      <c r="E546" s="307">
        <f t="shared" ca="1" si="241"/>
        <v>-13.671066055933286</v>
      </c>
      <c r="F546" s="304">
        <f t="shared" ca="1" si="242"/>
        <v>13.736879171933921</v>
      </c>
      <c r="G546" s="306">
        <f t="shared" ca="1" si="243"/>
        <v>47.189886015451222</v>
      </c>
      <c r="H546" s="307">
        <f t="shared" ca="1" si="244"/>
        <v>134.68208676506134</v>
      </c>
      <c r="I546" s="304">
        <f t="shared" ca="1" si="245"/>
        <v>142.71002010210353</v>
      </c>
      <c r="J546" s="306">
        <f t="shared" ca="1" si="246"/>
        <v>375.37695312195149</v>
      </c>
      <c r="K546" s="307">
        <f t="shared" ca="1" si="247"/>
        <v>1357.4013104912228</v>
      </c>
      <c r="L546" s="304">
        <f t="shared" ca="1" si="232"/>
        <v>1408.3487404256123</v>
      </c>
      <c r="M546" s="306">
        <f t="shared" ca="1" si="248"/>
        <v>1.2337831731662958</v>
      </c>
      <c r="N546" s="304">
        <f t="shared" ca="1" si="249"/>
        <v>70.690568656687148</v>
      </c>
      <c r="P546" s="310">
        <f t="shared" ca="1" si="250"/>
        <v>23</v>
      </c>
      <c r="Q546" s="304">
        <f t="shared" ca="1" si="251"/>
        <v>0</v>
      </c>
      <c r="R546" s="306">
        <f t="shared" ca="1" si="252"/>
        <v>0</v>
      </c>
      <c r="S546" s="307">
        <f t="shared" ca="1" si="253"/>
        <v>12.409999999999973</v>
      </c>
      <c r="T546" s="304">
        <f t="shared" ca="1" si="233"/>
        <v>121.74209999999975</v>
      </c>
      <c r="U546" s="311">
        <f t="shared" ca="1" si="234"/>
        <v>0</v>
      </c>
      <c r="V546" s="306">
        <f t="shared" ca="1" si="235"/>
        <v>1.0692866169738604</v>
      </c>
      <c r="W546" s="304">
        <f t="shared" ca="1" si="236"/>
        <v>49.728253719820017</v>
      </c>
      <c r="Y546" s="314" t="str">
        <f t="shared" ca="1" si="254"/>
        <v/>
      </c>
      <c r="Z546" s="315" t="str">
        <f t="shared" ca="1" si="255"/>
        <v/>
      </c>
      <c r="AA546" s="316" t="str">
        <f t="shared" ca="1" si="256"/>
        <v/>
      </c>
      <c r="AC546" s="310" t="e">
        <f t="shared" ca="1" si="257"/>
        <v>#N/A</v>
      </c>
      <c r="AD546" s="323" t="e">
        <f t="shared" ca="1" si="258"/>
        <v>#N/A</v>
      </c>
      <c r="AE546" s="324">
        <f t="shared" ca="1" si="237"/>
        <v>1357.4013104912228</v>
      </c>
      <c r="AG546" s="306">
        <f t="shared" ca="1" si="259"/>
        <v>-13.353442286517399</v>
      </c>
      <c r="AH546" s="304">
        <f t="shared" ca="1" si="260"/>
        <v>-4.0879864685320255</v>
      </c>
    </row>
    <row r="547" spans="1:34" x14ac:dyDescent="0.25">
      <c r="A547" s="347">
        <f t="shared" ca="1" si="238"/>
        <v>0.1</v>
      </c>
      <c r="B547" s="304">
        <f t="shared" ca="1" si="239"/>
        <v>9.2999999999999226</v>
      </c>
      <c r="D547" s="306">
        <f t="shared" ca="1" si="240"/>
        <v>-1.3250305396862976</v>
      </c>
      <c r="E547" s="307">
        <f t="shared" ca="1" si="241"/>
        <v>-13.591697587782988</v>
      </c>
      <c r="F547" s="304">
        <f t="shared" ca="1" si="242"/>
        <v>13.656132294645042</v>
      </c>
      <c r="G547" s="306">
        <f t="shared" ca="1" si="243"/>
        <v>47.057382961482595</v>
      </c>
      <c r="H547" s="307">
        <f t="shared" ca="1" si="244"/>
        <v>133.32291700628303</v>
      </c>
      <c r="I547" s="304">
        <f t="shared" ca="1" si="245"/>
        <v>141.38386573526651</v>
      </c>
      <c r="J547" s="306">
        <f t="shared" ca="1" si="246"/>
        <v>380.08931657079819</v>
      </c>
      <c r="K547" s="307">
        <f t="shared" ca="1" si="247"/>
        <v>1370.8015606797901</v>
      </c>
      <c r="L547" s="304">
        <f t="shared" ca="1" si="232"/>
        <v>1422.5205823935923</v>
      </c>
      <c r="M547" s="306">
        <f t="shared" ca="1" si="248"/>
        <v>1.2314888003029594</v>
      </c>
      <c r="N547" s="304">
        <f t="shared" ca="1" si="249"/>
        <v>70.559110774988625</v>
      </c>
      <c r="P547" s="310">
        <f t="shared" ca="1" si="250"/>
        <v>23</v>
      </c>
      <c r="Q547" s="304">
        <f t="shared" ca="1" si="251"/>
        <v>0</v>
      </c>
      <c r="R547" s="306">
        <f t="shared" ca="1" si="252"/>
        <v>0</v>
      </c>
      <c r="S547" s="307">
        <f t="shared" ca="1" si="253"/>
        <v>12.409999999999973</v>
      </c>
      <c r="T547" s="304">
        <f t="shared" ca="1" si="233"/>
        <v>121.74209999999975</v>
      </c>
      <c r="U547" s="311">
        <f t="shared" ca="1" si="234"/>
        <v>0</v>
      </c>
      <c r="V547" s="306">
        <f t="shared" ca="1" si="235"/>
        <v>1.0678480179309358</v>
      </c>
      <c r="W547" s="304">
        <f t="shared" ca="1" si="236"/>
        <v>48.742667482354449</v>
      </c>
      <c r="Y547" s="314" t="str">
        <f t="shared" ca="1" si="254"/>
        <v/>
      </c>
      <c r="Z547" s="315" t="str">
        <f t="shared" ca="1" si="255"/>
        <v/>
      </c>
      <c r="AA547" s="316" t="str">
        <f t="shared" ca="1" si="256"/>
        <v/>
      </c>
      <c r="AC547" s="310" t="e">
        <f t="shared" ca="1" si="257"/>
        <v>#N/A</v>
      </c>
      <c r="AD547" s="323" t="e">
        <f t="shared" ca="1" si="258"/>
        <v>#N/A</v>
      </c>
      <c r="AE547" s="324">
        <f t="shared" ca="1" si="237"/>
        <v>1370.8015606797901</v>
      </c>
      <c r="AG547" s="306">
        <f t="shared" ca="1" si="259"/>
        <v>-13.265264993884953</v>
      </c>
      <c r="AH547" s="304">
        <f t="shared" ca="1" si="260"/>
        <v>-4.0071115003884064</v>
      </c>
    </row>
    <row r="548" spans="1:34" x14ac:dyDescent="0.25">
      <c r="A548" s="347">
        <f t="shared" ca="1" si="238"/>
        <v>0.1</v>
      </c>
      <c r="B548" s="304">
        <f t="shared" ca="1" si="239"/>
        <v>9.3999999999999222</v>
      </c>
      <c r="D548" s="306">
        <f t="shared" ca="1" si="240"/>
        <v>-1.3072704063887064</v>
      </c>
      <c r="E548" s="307">
        <f t="shared" ca="1" si="241"/>
        <v>-13.513756837442289</v>
      </c>
      <c r="F548" s="304">
        <f t="shared" ca="1" si="242"/>
        <v>13.57683983027486</v>
      </c>
      <c r="G548" s="306">
        <f t="shared" ca="1" si="243"/>
        <v>46.926655920843722</v>
      </c>
      <c r="H548" s="307">
        <f t="shared" ca="1" si="244"/>
        <v>131.9715413225388</v>
      </c>
      <c r="I548" s="304">
        <f t="shared" ca="1" si="245"/>
        <v>140.06640837459861</v>
      </c>
      <c r="J548" s="306">
        <f t="shared" ca="1" si="246"/>
        <v>384.78851851491453</v>
      </c>
      <c r="K548" s="307">
        <f t="shared" ca="1" si="247"/>
        <v>1384.0662835962312</v>
      </c>
      <c r="L548" s="304">
        <f t="shared" ca="1" si="232"/>
        <v>1436.5589724646829</v>
      </c>
      <c r="M548" s="306">
        <f t="shared" ca="1" si="248"/>
        <v>1.2291576872995156</v>
      </c>
      <c r="N548" s="304">
        <f t="shared" ca="1" si="249"/>
        <v>70.425547838323226</v>
      </c>
      <c r="P548" s="310">
        <f t="shared" ca="1" si="250"/>
        <v>23</v>
      </c>
      <c r="Q548" s="304">
        <f t="shared" ca="1" si="251"/>
        <v>0</v>
      </c>
      <c r="R548" s="306">
        <f t="shared" ca="1" si="252"/>
        <v>0</v>
      </c>
      <c r="S548" s="307">
        <f t="shared" ca="1" si="253"/>
        <v>12.409999999999973</v>
      </c>
      <c r="T548" s="304">
        <f t="shared" ca="1" si="233"/>
        <v>121.74209999999975</v>
      </c>
      <c r="U548" s="311">
        <f t="shared" ca="1" si="234"/>
        <v>0</v>
      </c>
      <c r="V548" s="306">
        <f t="shared" ca="1" si="235"/>
        <v>1.0664257442976606</v>
      </c>
      <c r="W548" s="304">
        <f t="shared" ca="1" si="236"/>
        <v>47.774785780131189</v>
      </c>
      <c r="Y548" s="314" t="str">
        <f t="shared" ca="1" si="254"/>
        <v/>
      </c>
      <c r="Z548" s="315" t="str">
        <f t="shared" ca="1" si="255"/>
        <v/>
      </c>
      <c r="AA548" s="316" t="str">
        <f t="shared" ca="1" si="256"/>
        <v/>
      </c>
      <c r="AC548" s="310" t="e">
        <f t="shared" ca="1" si="257"/>
        <v>#N/A</v>
      </c>
      <c r="AD548" s="323" t="e">
        <f t="shared" ca="1" si="258"/>
        <v>#N/A</v>
      </c>
      <c r="AE548" s="324">
        <f t="shared" ca="1" si="237"/>
        <v>1384.0662835962312</v>
      </c>
      <c r="AG548" s="306">
        <f t="shared" ca="1" si="259"/>
        <v>-13.178379270784779</v>
      </c>
      <c r="AH548" s="304">
        <f t="shared" ca="1" si="260"/>
        <v>-3.9276927866522606</v>
      </c>
    </row>
    <row r="549" spans="1:34" x14ac:dyDescent="0.25">
      <c r="A549" s="347">
        <f t="shared" ca="1" si="238"/>
        <v>0.1</v>
      </c>
      <c r="B549" s="304">
        <f t="shared" ca="1" si="239"/>
        <v>9.4999999999999218</v>
      </c>
      <c r="D549" s="306">
        <f t="shared" ca="1" si="240"/>
        <v>-1.289770920777433</v>
      </c>
      <c r="E549" s="307">
        <f t="shared" ca="1" si="241"/>
        <v>-13.437214704050184</v>
      </c>
      <c r="F549" s="304">
        <f t="shared" ca="1" si="242"/>
        <v>13.498972110158075</v>
      </c>
      <c r="G549" s="306">
        <f t="shared" ca="1" si="243"/>
        <v>46.797678828765982</v>
      </c>
      <c r="H549" s="307">
        <f t="shared" ca="1" si="244"/>
        <v>130.62781985213377</v>
      </c>
      <c r="I549" s="304">
        <f t="shared" ca="1" si="245"/>
        <v>138.75752254592126</v>
      </c>
      <c r="J549" s="306">
        <f t="shared" ca="1" si="246"/>
        <v>389.47473525239502</v>
      </c>
      <c r="K549" s="307">
        <f t="shared" ca="1" si="247"/>
        <v>1397.1962516549647</v>
      </c>
      <c r="L549" s="304">
        <f t="shared" ca="1" si="232"/>
        <v>1450.4647307117145</v>
      </c>
      <c r="M549" s="306">
        <f t="shared" ca="1" si="248"/>
        <v>1.2267890504000549</v>
      </c>
      <c r="N549" s="304">
        <f t="shared" ca="1" si="249"/>
        <v>70.289834940785184</v>
      </c>
      <c r="P549" s="310">
        <f t="shared" ca="1" si="250"/>
        <v>23</v>
      </c>
      <c r="Q549" s="304">
        <f t="shared" ca="1" si="251"/>
        <v>0</v>
      </c>
      <c r="R549" s="306">
        <f t="shared" ca="1" si="252"/>
        <v>0</v>
      </c>
      <c r="S549" s="307">
        <f t="shared" ca="1" si="253"/>
        <v>12.409999999999973</v>
      </c>
      <c r="T549" s="304">
        <f t="shared" ca="1" si="233"/>
        <v>121.74209999999975</v>
      </c>
      <c r="U549" s="311">
        <f t="shared" ca="1" si="234"/>
        <v>0</v>
      </c>
      <c r="V549" s="306">
        <f t="shared" ca="1" si="235"/>
        <v>1.0650196560196572</v>
      </c>
      <c r="W549" s="304">
        <f t="shared" ca="1" si="236"/>
        <v>46.82425110343744</v>
      </c>
      <c r="Y549" s="314" t="str">
        <f t="shared" ca="1" si="254"/>
        <v/>
      </c>
      <c r="Z549" s="315" t="str">
        <f t="shared" ca="1" si="255"/>
        <v/>
      </c>
      <c r="AA549" s="316" t="str">
        <f t="shared" ca="1" si="256"/>
        <v/>
      </c>
      <c r="AC549" s="310" t="e">
        <f t="shared" ca="1" si="257"/>
        <v>#N/A</v>
      </c>
      <c r="AD549" s="323" t="e">
        <f t="shared" ca="1" si="258"/>
        <v>#N/A</v>
      </c>
      <c r="AE549" s="324">
        <f t="shared" ca="1" si="237"/>
        <v>1397.1962516549647</v>
      </c>
      <c r="AG549" s="306">
        <f t="shared" ca="1" si="259"/>
        <v>-13.092750739255706</v>
      </c>
      <c r="AH549" s="304">
        <f t="shared" ca="1" si="260"/>
        <v>-3.8497007075045362</v>
      </c>
    </row>
    <row r="550" spans="1:34" x14ac:dyDescent="0.25">
      <c r="A550" s="347">
        <f t="shared" ca="1" si="238"/>
        <v>0.1</v>
      </c>
      <c r="B550" s="304">
        <f t="shared" ca="1" si="239"/>
        <v>9.5999999999999215</v>
      </c>
      <c r="D550" s="306">
        <f t="shared" ca="1" si="240"/>
        <v>-1.2725264966997429</v>
      </c>
      <c r="E550" s="307">
        <f t="shared" ca="1" si="241"/>
        <v>-13.362042881788891</v>
      </c>
      <c r="F550" s="304">
        <f t="shared" ca="1" si="242"/>
        <v>13.422500276012963</v>
      </c>
      <c r="G550" s="306">
        <f t="shared" ca="1" si="243"/>
        <v>46.670426179096005</v>
      </c>
      <c r="H550" s="307">
        <f t="shared" ca="1" si="244"/>
        <v>129.29161556395488</v>
      </c>
      <c r="I550" s="304">
        <f t="shared" ca="1" si="245"/>
        <v>137.45708615737476</v>
      </c>
      <c r="J550" s="306">
        <f t="shared" ca="1" si="246"/>
        <v>394.14814050278812</v>
      </c>
      <c r="K550" s="307">
        <f t="shared" ca="1" si="247"/>
        <v>1410.192223425769</v>
      </c>
      <c r="L550" s="304">
        <f t="shared" ca="1" si="232"/>
        <v>1464.2386634945547</v>
      </c>
      <c r="M550" s="306">
        <f t="shared" ca="1" si="248"/>
        <v>1.2243820837730226</v>
      </c>
      <c r="N550" s="304">
        <f t="shared" ca="1" si="249"/>
        <v>70.151925911627387</v>
      </c>
      <c r="P550" s="310">
        <f t="shared" ca="1" si="250"/>
        <v>23</v>
      </c>
      <c r="Q550" s="304">
        <f t="shared" ca="1" si="251"/>
        <v>0</v>
      </c>
      <c r="R550" s="306">
        <f t="shared" ca="1" si="252"/>
        <v>0</v>
      </c>
      <c r="S550" s="307">
        <f t="shared" ca="1" si="253"/>
        <v>12.409999999999973</v>
      </c>
      <c r="T550" s="304">
        <f t="shared" ca="1" si="233"/>
        <v>121.74209999999975</v>
      </c>
      <c r="U550" s="311">
        <f t="shared" ca="1" si="234"/>
        <v>0</v>
      </c>
      <c r="V550" s="306">
        <f t="shared" ca="1" si="235"/>
        <v>1.0636296156830902</v>
      </c>
      <c r="W550" s="304">
        <f t="shared" ca="1" si="236"/>
        <v>45.890715692923564</v>
      </c>
      <c r="Y550" s="314" t="str">
        <f t="shared" ca="1" si="254"/>
        <v/>
      </c>
      <c r="Z550" s="315" t="str">
        <f t="shared" ca="1" si="255"/>
        <v/>
      </c>
      <c r="AA550" s="316" t="str">
        <f t="shared" ca="1" si="256"/>
        <v/>
      </c>
      <c r="AC550" s="310" t="e">
        <f t="shared" ca="1" si="257"/>
        <v>#N/A</v>
      </c>
      <c r="AD550" s="323" t="e">
        <f t="shared" ca="1" si="258"/>
        <v>#N/A</v>
      </c>
      <c r="AE550" s="324">
        <f t="shared" ca="1" si="237"/>
        <v>1410.192223425769</v>
      </c>
      <c r="AG550" s="306">
        <f t="shared" ca="1" si="259"/>
        <v>-13.008345663674527</v>
      </c>
      <c r="AH550" s="304">
        <f t="shared" ca="1" si="260"/>
        <v>-3.7731064547491973</v>
      </c>
    </row>
    <row r="551" spans="1:34" x14ac:dyDescent="0.25">
      <c r="A551" s="347">
        <f t="shared" ca="1" si="238"/>
        <v>0.1</v>
      </c>
      <c r="B551" s="304">
        <f t="shared" ca="1" si="239"/>
        <v>9.6999999999999211</v>
      </c>
      <c r="D551" s="306">
        <f t="shared" ca="1" si="240"/>
        <v>-1.2555317008296225</v>
      </c>
      <c r="E551" s="307">
        <f t="shared" ca="1" si="241"/>
        <v>-13.288213834368854</v>
      </c>
      <c r="F551" s="304">
        <f t="shared" ca="1" si="242"/>
        <v>13.347396253940312</v>
      </c>
      <c r="G551" s="306">
        <f t="shared" ca="1" si="243"/>
        <v>46.544873009013045</v>
      </c>
      <c r="H551" s="307">
        <f t="shared" ca="1" si="244"/>
        <v>127.96279418051799</v>
      </c>
      <c r="I551" s="304">
        <f t="shared" ca="1" si="245"/>
        <v>136.16498043884397</v>
      </c>
      <c r="J551" s="306">
        <f t="shared" ca="1" si="246"/>
        <v>398.80890546219359</v>
      </c>
      <c r="K551" s="307">
        <f t="shared" ca="1" si="247"/>
        <v>1423.0549439129927</v>
      </c>
      <c r="L551" s="304">
        <f t="shared" ca="1" si="232"/>
        <v>1477.881563749668</v>
      </c>
      <c r="M551" s="306">
        <f t="shared" ca="1" si="248"/>
        <v>1.2219359587755219</v>
      </c>
      <c r="N551" s="304">
        <f t="shared" ca="1" si="249"/>
        <v>70.011773273109156</v>
      </c>
      <c r="P551" s="310">
        <f t="shared" ca="1" si="250"/>
        <v>23</v>
      </c>
      <c r="Q551" s="304">
        <f t="shared" ca="1" si="251"/>
        <v>0</v>
      </c>
      <c r="R551" s="306">
        <f t="shared" ca="1" si="252"/>
        <v>0</v>
      </c>
      <c r="S551" s="307">
        <f t="shared" ca="1" si="253"/>
        <v>12.409999999999973</v>
      </c>
      <c r="T551" s="304">
        <f t="shared" ca="1" si="233"/>
        <v>121.74209999999975</v>
      </c>
      <c r="U551" s="311">
        <f t="shared" ca="1" si="234"/>
        <v>0</v>
      </c>
      <c r="V551" s="306">
        <f t="shared" ca="1" si="235"/>
        <v>1.0622554884578934</v>
      </c>
      <c r="W551" s="304">
        <f t="shared" ca="1" si="236"/>
        <v>44.973841229880691</v>
      </c>
      <c r="Y551" s="314" t="str">
        <f t="shared" ca="1" si="254"/>
        <v/>
      </c>
      <c r="Z551" s="315" t="str">
        <f t="shared" ca="1" si="255"/>
        <v/>
      </c>
      <c r="AA551" s="316" t="str">
        <f t="shared" ca="1" si="256"/>
        <v/>
      </c>
      <c r="AC551" s="310" t="e">
        <f t="shared" ca="1" si="257"/>
        <v>#N/A</v>
      </c>
      <c r="AD551" s="323" t="e">
        <f t="shared" ca="1" si="258"/>
        <v>#N/A</v>
      </c>
      <c r="AE551" s="324">
        <f t="shared" ca="1" si="237"/>
        <v>1423.0549439129927</v>
      </c>
      <c r="AG551" s="306">
        <f t="shared" ca="1" si="259"/>
        <v>-12.925130917803966</v>
      </c>
      <c r="AH551" s="304">
        <f t="shared" ca="1" si="260"/>
        <v>-3.6978820058762016</v>
      </c>
    </row>
    <row r="552" spans="1:34" x14ac:dyDescent="0.25">
      <c r="A552" s="347">
        <f t="shared" ca="1" si="238"/>
        <v>0.1</v>
      </c>
      <c r="B552" s="304">
        <f t="shared" ca="1" si="239"/>
        <v>9.7999999999999208</v>
      </c>
      <c r="D552" s="306">
        <f t="shared" ca="1" si="240"/>
        <v>-1.2387812479671003</v>
      </c>
      <c r="E552" s="307">
        <f t="shared" ca="1" si="241"/>
        <v>-13.215700770471617</v>
      </c>
      <c r="F552" s="304">
        <f t="shared" ca="1" si="242"/>
        <v>13.273632729398498</v>
      </c>
      <c r="G552" s="306">
        <f t="shared" ca="1" si="243"/>
        <v>46.420994884216334</v>
      </c>
      <c r="H552" s="307">
        <f t="shared" ca="1" si="244"/>
        <v>126.64122410347083</v>
      </c>
      <c r="I552" s="304">
        <f t="shared" ca="1" si="245"/>
        <v>134.88108988463119</v>
      </c>
      <c r="J552" s="306">
        <f t="shared" ca="1" si="246"/>
        <v>403.45719885685509</v>
      </c>
      <c r="K552" s="307">
        <f t="shared" ca="1" si="247"/>
        <v>1435.7851448271922</v>
      </c>
      <c r="L552" s="304">
        <f t="shared" ca="1" si="232"/>
        <v>1491.3942112720772</v>
      </c>
      <c r="M552" s="306">
        <f t="shared" ca="1" si="248"/>
        <v>1.2194498231898148</v>
      </c>
      <c r="N552" s="304">
        <f t="shared" ca="1" si="249"/>
        <v>69.869328196750843</v>
      </c>
      <c r="P552" s="310">
        <f t="shared" ca="1" si="250"/>
        <v>23</v>
      </c>
      <c r="Q552" s="304">
        <f t="shared" ca="1" si="251"/>
        <v>0</v>
      </c>
      <c r="R552" s="306">
        <f t="shared" ca="1" si="252"/>
        <v>0</v>
      </c>
      <c r="S552" s="307">
        <f t="shared" ca="1" si="253"/>
        <v>12.409999999999973</v>
      </c>
      <c r="T552" s="304">
        <f t="shared" ca="1" si="233"/>
        <v>121.74209999999975</v>
      </c>
      <c r="U552" s="311">
        <f t="shared" ca="1" si="234"/>
        <v>0</v>
      </c>
      <c r="V552" s="306">
        <f t="shared" ca="1" si="235"/>
        <v>1.0608971420426143</v>
      </c>
      <c r="W552" s="304">
        <f t="shared" ca="1" si="236"/>
        <v>44.073298538153644</v>
      </c>
      <c r="Y552" s="314" t="str">
        <f t="shared" ca="1" si="254"/>
        <v/>
      </c>
      <c r="Z552" s="315" t="str">
        <f t="shared" ca="1" si="255"/>
        <v/>
      </c>
      <c r="AA552" s="316" t="str">
        <f t="shared" ca="1" si="256"/>
        <v/>
      </c>
      <c r="AC552" s="310" t="e">
        <f t="shared" ca="1" si="257"/>
        <v>#N/A</v>
      </c>
      <c r="AD552" s="323" t="e">
        <f t="shared" ca="1" si="258"/>
        <v>#N/A</v>
      </c>
      <c r="AE552" s="324">
        <f t="shared" ca="1" si="237"/>
        <v>1435.7851448271922</v>
      </c>
      <c r="AG552" s="306">
        <f t="shared" ca="1" si="259"/>
        <v>-12.843073952492354</v>
      </c>
      <c r="AH552" s="304">
        <f t="shared" ca="1" si="260"/>
        <v>-3.6240000991040118</v>
      </c>
    </row>
    <row r="553" spans="1:34" x14ac:dyDescent="0.25">
      <c r="A553" s="347">
        <f t="shared" ca="1" si="238"/>
        <v>0.1</v>
      </c>
      <c r="B553" s="304">
        <f t="shared" ca="1" si="239"/>
        <v>9.8999999999999204</v>
      </c>
      <c r="D553" s="306">
        <f t="shared" ca="1" si="240"/>
        <v>-1.2222699965230768</v>
      </c>
      <c r="E553" s="307">
        <f t="shared" ca="1" si="241"/>
        <v>-13.144477620109296</v>
      </c>
      <c r="F553" s="304">
        <f t="shared" ca="1" si="242"/>
        <v>13.201183123112665</v>
      </c>
      <c r="G553" s="306">
        <f t="shared" ca="1" si="243"/>
        <v>46.298767884564029</v>
      </c>
      <c r="H553" s="307">
        <f t="shared" ca="1" si="244"/>
        <v>125.3267763414599</v>
      </c>
      <c r="I553" s="304">
        <f t="shared" ca="1" si="245"/>
        <v>133.60530219931786</v>
      </c>
      <c r="J553" s="306">
        <f t="shared" ca="1" si="246"/>
        <v>408.0931869952941</v>
      </c>
      <c r="K553" s="307">
        <f t="shared" ca="1" si="247"/>
        <v>1448.3835448494387</v>
      </c>
      <c r="L553" s="304">
        <f t="shared" ca="1" si="232"/>
        <v>1504.7773729899723</v>
      </c>
      <c r="M553" s="306">
        <f t="shared" ca="1" si="248"/>
        <v>1.2169228004309007</v>
      </c>
      <c r="N553" s="304">
        <f t="shared" ca="1" si="249"/>
        <v>69.724540457931568</v>
      </c>
      <c r="P553" s="310">
        <f t="shared" ca="1" si="250"/>
        <v>23</v>
      </c>
      <c r="Q553" s="304">
        <f t="shared" ca="1" si="251"/>
        <v>0</v>
      </c>
      <c r="R553" s="306">
        <f t="shared" ca="1" si="252"/>
        <v>0</v>
      </c>
      <c r="S553" s="307">
        <f t="shared" ca="1" si="253"/>
        <v>12.409999999999973</v>
      </c>
      <c r="T553" s="304">
        <f t="shared" ca="1" si="233"/>
        <v>121.74209999999975</v>
      </c>
      <c r="U553" s="311">
        <f t="shared" ca="1" si="234"/>
        <v>0</v>
      </c>
      <c r="V553" s="306">
        <f t="shared" ca="1" si="235"/>
        <v>1.0595544466108142</v>
      </c>
      <c r="W553" s="304">
        <f t="shared" ca="1" si="236"/>
        <v>43.188767297192513</v>
      </c>
      <c r="Y553" s="314" t="str">
        <f t="shared" ca="1" si="254"/>
        <v/>
      </c>
      <c r="Z553" s="315" t="str">
        <f t="shared" ca="1" si="255"/>
        <v/>
      </c>
      <c r="AA553" s="316" t="str">
        <f t="shared" ca="1" si="256"/>
        <v/>
      </c>
      <c r="AC553" s="310" t="e">
        <f t="shared" ca="1" si="257"/>
        <v>#N/A</v>
      </c>
      <c r="AD553" s="323" t="e">
        <f t="shared" ca="1" si="258"/>
        <v>#N/A</v>
      </c>
      <c r="AE553" s="324">
        <f t="shared" ca="1" si="237"/>
        <v>1448.3835448494387</v>
      </c>
      <c r="AG553" s="306">
        <f t="shared" ca="1" si="259"/>
        <v>-12.762142763966397</v>
      </c>
      <c r="AH553" s="304">
        <f t="shared" ca="1" si="260"/>
        <v>-3.5514342093596887</v>
      </c>
    </row>
    <row r="554" spans="1:34" x14ac:dyDescent="0.25">
      <c r="A554" s="347">
        <f t="shared" ca="1" si="238"/>
        <v>0.1</v>
      </c>
      <c r="B554" s="304">
        <f t="shared" ca="1" si="239"/>
        <v>9.9999999999999201</v>
      </c>
      <c r="D554" s="306">
        <f t="shared" ca="1" si="240"/>
        <v>-1.2059929441822093</v>
      </c>
      <c r="E554" s="307">
        <f t="shared" ca="1" si="241"/>
        <v>-13.07451901186108</v>
      </c>
      <c r="F554" s="304">
        <f t="shared" ca="1" si="242"/>
        <v>13.130021567877719</v>
      </c>
      <c r="G554" s="306">
        <f t="shared" ca="1" si="243"/>
        <v>46.178168590145809</v>
      </c>
      <c r="H554" s="307">
        <f t="shared" ca="1" si="244"/>
        <v>124.01932444027379</v>
      </c>
      <c r="I554" s="304">
        <f t="shared" ca="1" si="245"/>
        <v>132.33750824676207</v>
      </c>
      <c r="J554" s="306">
        <f t="shared" ca="1" si="246"/>
        <v>412.71703381902961</v>
      </c>
      <c r="K554" s="307">
        <f t="shared" ca="1" si="247"/>
        <v>1460.8508498885255</v>
      </c>
      <c r="L554" s="304">
        <f t="shared" ca="1" si="232"/>
        <v>1518.0318032322004</v>
      </c>
      <c r="M554" s="306">
        <f t="shared" ca="1" si="248"/>
        <v>1.2143539887240211</v>
      </c>
      <c r="N554" s="304">
        <f t="shared" ca="1" si="249"/>
        <v>69.577358388763571</v>
      </c>
      <c r="P554" s="310">
        <f t="shared" ca="1" si="250"/>
        <v>23</v>
      </c>
      <c r="Q554" s="304">
        <f t="shared" ca="1" si="251"/>
        <v>0</v>
      </c>
      <c r="R554" s="306">
        <f t="shared" ca="1" si="252"/>
        <v>0</v>
      </c>
      <c r="S554" s="307">
        <f t="shared" ca="1" si="253"/>
        <v>12.409999999999973</v>
      </c>
      <c r="T554" s="304">
        <f t="shared" ca="1" si="233"/>
        <v>121.74209999999975</v>
      </c>
      <c r="U554" s="311">
        <f t="shared" ca="1" si="234"/>
        <v>0</v>
      </c>
      <c r="V554" s="306">
        <f t="shared" ca="1" si="235"/>
        <v>1.058227274758984</v>
      </c>
      <c r="W554" s="304">
        <f t="shared" ca="1" si="236"/>
        <v>42.319935765770715</v>
      </c>
      <c r="Y554" s="314" t="str">
        <f t="shared" ca="1" si="254"/>
        <v/>
      </c>
      <c r="Z554" s="315" t="str">
        <f t="shared" ca="1" si="255"/>
        <v/>
      </c>
      <c r="AA554" s="316" t="str">
        <f t="shared" ca="1" si="256"/>
        <v/>
      </c>
      <c r="AC554" s="310">
        <f t="shared" ca="1" si="257"/>
        <v>9.9999999999999201</v>
      </c>
      <c r="AD554" s="323">
        <f t="shared" ca="1" si="258"/>
        <v>412.71703381902961</v>
      </c>
      <c r="AE554" s="324">
        <f t="shared" ca="1" si="237"/>
        <v>1460.8508498885255</v>
      </c>
      <c r="AG554" s="306">
        <f t="shared" ca="1" si="259"/>
        <v>-12.682305862659423</v>
      </c>
      <c r="AH554" s="304">
        <f t="shared" ca="1" si="260"/>
        <v>-3.4801585251565355</v>
      </c>
    </row>
    <row r="555" spans="1:34" x14ac:dyDescent="0.25">
      <c r="A555" s="347">
        <f t="shared" ca="1" si="238"/>
        <v>0.1</v>
      </c>
      <c r="B555" s="304">
        <f t="shared" ca="1" si="239"/>
        <v>10.09999999999992</v>
      </c>
      <c r="D555" s="306">
        <f t="shared" ca="1" si="240"/>
        <v>-1.1899452237367745</v>
      </c>
      <c r="E555" s="307">
        <f t="shared" ca="1" si="241"/>
        <v>-13.00580025094926</v>
      </c>
      <c r="F555" s="304">
        <f t="shared" ca="1" si="242"/>
        <v>13.060122886216874</v>
      </c>
      <c r="G555" s="306">
        <f t="shared" ca="1" si="243"/>
        <v>46.059174067772133</v>
      </c>
      <c r="H555" s="307">
        <f t="shared" ca="1" si="244"/>
        <v>122.71874441517886</v>
      </c>
      <c r="I555" s="304">
        <f t="shared" ca="1" si="245"/>
        <v>131.07760200218544</v>
      </c>
      <c r="J555" s="306">
        <f t="shared" ca="1" si="246"/>
        <v>417.3289009519255</v>
      </c>
      <c r="K555" s="307">
        <f t="shared" ca="1" si="247"/>
        <v>1473.1877533312982</v>
      </c>
      <c r="L555" s="304">
        <f t="shared" ca="1" si="232"/>
        <v>1531.1582439888634</v>
      </c>
      <c r="M555" s="306">
        <f t="shared" ca="1" si="248"/>
        <v>1.2117424602508811</v>
      </c>
      <c r="N555" s="304">
        <f t="shared" ca="1" si="249"/>
        <v>69.427728829174399</v>
      </c>
      <c r="P555" s="310">
        <f t="shared" ca="1" si="250"/>
        <v>23</v>
      </c>
      <c r="Q555" s="304">
        <f t="shared" ca="1" si="251"/>
        <v>0</v>
      </c>
      <c r="R555" s="306">
        <f t="shared" ca="1" si="252"/>
        <v>0</v>
      </c>
      <c r="S555" s="307">
        <f t="shared" ca="1" si="253"/>
        <v>12.409999999999973</v>
      </c>
      <c r="T555" s="304">
        <f t="shared" ca="1" si="233"/>
        <v>121.74209999999975</v>
      </c>
      <c r="U555" s="311">
        <f t="shared" ca="1" si="234"/>
        <v>0</v>
      </c>
      <c r="V555" s="306">
        <f t="shared" ca="1" si="235"/>
        <v>1.0569155014559148</v>
      </c>
      <c r="W555" s="304">
        <f t="shared" ca="1" si="236"/>
        <v>41.466500515919542</v>
      </c>
      <c r="Y555" s="314" t="str">
        <f t="shared" ca="1" si="254"/>
        <v/>
      </c>
      <c r="Z555" s="315" t="str">
        <f t="shared" ca="1" si="255"/>
        <v/>
      </c>
      <c r="AA555" s="316" t="str">
        <f t="shared" ca="1" si="256"/>
        <v/>
      </c>
      <c r="AC555" s="310" t="e">
        <f t="shared" ca="1" si="257"/>
        <v>#N/A</v>
      </c>
      <c r="AD555" s="323" t="e">
        <f t="shared" ca="1" si="258"/>
        <v>#N/A</v>
      </c>
      <c r="AE555" s="324">
        <f t="shared" ca="1" si="237"/>
        <v>1473.1877533312982</v>
      </c>
      <c r="AG555" s="306">
        <f t="shared" ca="1" si="259"/>
        <v>-12.603532242518519</v>
      </c>
      <c r="AH555" s="304">
        <f t="shared" ca="1" si="260"/>
        <v>-3.4101479263312493</v>
      </c>
    </row>
    <row r="556" spans="1:34" x14ac:dyDescent="0.25">
      <c r="A556" s="347">
        <f t="shared" ca="1" si="238"/>
        <v>0.1</v>
      </c>
      <c r="B556" s="304">
        <f t="shared" ca="1" si="239"/>
        <v>10.199999999999919</v>
      </c>
      <c r="D556" s="306">
        <f t="shared" ca="1" si="240"/>
        <v>-1.1741220990848178</v>
      </c>
      <c r="E556" s="307">
        <f t="shared" ca="1" si="241"/>
        <v>-12.938297298118973</v>
      </c>
      <c r="F556" s="304">
        <f t="shared" ca="1" si="242"/>
        <v>12.991462568859292</v>
      </c>
      <c r="G556" s="306">
        <f t="shared" ca="1" si="243"/>
        <v>45.941761857863654</v>
      </c>
      <c r="H556" s="307">
        <f t="shared" ca="1" si="244"/>
        <v>121.42491468536696</v>
      </c>
      <c r="I556" s="304">
        <f t="shared" ca="1" si="245"/>
        <v>129.82548050730759</v>
      </c>
      <c r="J556" s="306">
        <f t="shared" ca="1" si="246"/>
        <v>421.92894774820729</v>
      </c>
      <c r="K556" s="307">
        <f t="shared" ca="1" si="247"/>
        <v>1485.3949362863254</v>
      </c>
      <c r="L556" s="304">
        <f t="shared" ca="1" si="232"/>
        <v>1544.1574251652473</v>
      </c>
      <c r="M556" s="306">
        <f t="shared" ca="1" si="248"/>
        <v>1.2090872602633485</v>
      </c>
      <c r="N556" s="304">
        <f t="shared" ca="1" si="249"/>
        <v>69.275597076125592</v>
      </c>
      <c r="P556" s="310">
        <f t="shared" ca="1" si="250"/>
        <v>23</v>
      </c>
      <c r="Q556" s="304">
        <f t="shared" ca="1" si="251"/>
        <v>0</v>
      </c>
      <c r="R556" s="306">
        <f t="shared" ca="1" si="252"/>
        <v>0</v>
      </c>
      <c r="S556" s="307">
        <f t="shared" ca="1" si="253"/>
        <v>12.409999999999973</v>
      </c>
      <c r="T556" s="304">
        <f t="shared" ca="1" si="233"/>
        <v>121.74209999999975</v>
      </c>
      <c r="U556" s="311">
        <f t="shared" ca="1" si="234"/>
        <v>0</v>
      </c>
      <c r="V556" s="306">
        <f t="shared" ca="1" si="235"/>
        <v>1.0556190039934858</v>
      </c>
      <c r="W556" s="304">
        <f t="shared" ca="1" si="236"/>
        <v>40.628166176650581</v>
      </c>
      <c r="Y556" s="314" t="str">
        <f t="shared" ca="1" si="254"/>
        <v/>
      </c>
      <c r="Z556" s="315" t="str">
        <f t="shared" ca="1" si="255"/>
        <v/>
      </c>
      <c r="AA556" s="316" t="str">
        <f t="shared" ca="1" si="256"/>
        <v/>
      </c>
      <c r="AC556" s="310" t="e">
        <f t="shared" ca="1" si="257"/>
        <v>#N/A</v>
      </c>
      <c r="AD556" s="323" t="e">
        <f t="shared" ca="1" si="258"/>
        <v>#N/A</v>
      </c>
      <c r="AE556" s="324">
        <f t="shared" ca="1" si="237"/>
        <v>1485.3949362863254</v>
      </c>
      <c r="AG556" s="306">
        <f t="shared" ca="1" si="259"/>
        <v>-12.525791350734757</v>
      </c>
      <c r="AH556" s="304">
        <f t="shared" ca="1" si="260"/>
        <v>-3.3413779626043216</v>
      </c>
    </row>
    <row r="557" spans="1:34" x14ac:dyDescent="0.25">
      <c r="A557" s="347">
        <f t="shared" ca="1" si="238"/>
        <v>0.1</v>
      </c>
      <c r="B557" s="304">
        <f t="shared" ca="1" si="239"/>
        <v>10.299999999999919</v>
      </c>
      <c r="D557" s="306">
        <f t="shared" ca="1" si="240"/>
        <v>-1.1585189613862048</v>
      </c>
      <c r="E557" s="307">
        <f t="shared" ca="1" si="241"/>
        <v>-12.871986749287489</v>
      </c>
      <c r="F557" s="304">
        <f t="shared" ca="1" si="242"/>
        <v>12.924016754001988</v>
      </c>
      <c r="G557" s="306">
        <f t="shared" ca="1" si="243"/>
        <v>45.825909961725031</v>
      </c>
      <c r="H557" s="307">
        <f t="shared" ca="1" si="244"/>
        <v>120.13771601043821</v>
      </c>
      <c r="I557" s="304">
        <f t="shared" ca="1" si="245"/>
        <v>128.58104382849299</v>
      </c>
      <c r="J557" s="306">
        <f t="shared" ca="1" si="246"/>
        <v>426.51733133918674</v>
      </c>
      <c r="K557" s="307">
        <f t="shared" ca="1" si="247"/>
        <v>1497.4730678211158</v>
      </c>
      <c r="L557" s="304">
        <f t="shared" ca="1" si="232"/>
        <v>1557.0300648292844</v>
      </c>
      <c r="M557" s="306">
        <f t="shared" ca="1" si="248"/>
        <v>1.2063874061633306</v>
      </c>
      <c r="N557" s="304">
        <f t="shared" ca="1" si="249"/>
        <v>69.120906830893489</v>
      </c>
      <c r="P557" s="310">
        <f t="shared" ca="1" si="250"/>
        <v>23</v>
      </c>
      <c r="Q557" s="304">
        <f t="shared" ca="1" si="251"/>
        <v>0</v>
      </c>
      <c r="R557" s="306">
        <f t="shared" ca="1" si="252"/>
        <v>0</v>
      </c>
      <c r="S557" s="307">
        <f t="shared" ca="1" si="253"/>
        <v>12.409999999999973</v>
      </c>
      <c r="T557" s="304">
        <f t="shared" ca="1" si="233"/>
        <v>121.74209999999975</v>
      </c>
      <c r="U557" s="311">
        <f t="shared" ca="1" si="234"/>
        <v>0</v>
      </c>
      <c r="V557" s="306">
        <f t="shared" ca="1" si="235"/>
        <v>1.0543376619388138</v>
      </c>
      <c r="W557" s="304">
        <f t="shared" ca="1" si="236"/>
        <v>39.804645187057794</v>
      </c>
      <c r="Y557" s="314" t="str">
        <f t="shared" ca="1" si="254"/>
        <v/>
      </c>
      <c r="Z557" s="315" t="str">
        <f t="shared" ca="1" si="255"/>
        <v/>
      </c>
      <c r="AA557" s="316" t="str">
        <f t="shared" ca="1" si="256"/>
        <v/>
      </c>
      <c r="AC557" s="310" t="e">
        <f t="shared" ca="1" si="257"/>
        <v>#N/A</v>
      </c>
      <c r="AD557" s="323" t="e">
        <f t="shared" ca="1" si="258"/>
        <v>#N/A</v>
      </c>
      <c r="AE557" s="324">
        <f t="shared" ca="1" si="237"/>
        <v>1497.4730678211158</v>
      </c>
      <c r="AG557" s="306">
        <f t="shared" ca="1" si="259"/>
        <v>-12.449053057841443</v>
      </c>
      <c r="AH557" s="304">
        <f t="shared" ca="1" si="260"/>
        <v>-3.2738248329291433</v>
      </c>
    </row>
    <row r="558" spans="1:34" x14ac:dyDescent="0.25">
      <c r="A558" s="347">
        <f t="shared" ca="1" si="238"/>
        <v>0.1</v>
      </c>
      <c r="B558" s="304">
        <f t="shared" ca="1" si="239"/>
        <v>10.399999999999919</v>
      </c>
      <c r="D558" s="306">
        <f t="shared" ca="1" si="240"/>
        <v>-1.1431313253705679</v>
      </c>
      <c r="E558" s="307">
        <f t="shared" ca="1" si="241"/>
        <v>-12.806845815930537</v>
      </c>
      <c r="F558" s="304">
        <f t="shared" ca="1" si="242"/>
        <v>12.857762207322896</v>
      </c>
      <c r="G558" s="306">
        <f t="shared" ca="1" si="243"/>
        <v>45.711596829187975</v>
      </c>
      <c r="H558" s="307">
        <f t="shared" ca="1" si="244"/>
        <v>118.85703142884516</v>
      </c>
      <c r="I558" s="304">
        <f t="shared" ca="1" si="245"/>
        <v>127.34419501787946</v>
      </c>
      <c r="J558" s="306">
        <f t="shared" ca="1" si="246"/>
        <v>431.09420667873241</v>
      </c>
      <c r="K558" s="307">
        <f t="shared" ca="1" si="247"/>
        <v>1509.42280519308</v>
      </c>
      <c r="L558" s="304">
        <f t="shared" ca="1" si="232"/>
        <v>1569.7768694527615</v>
      </c>
      <c r="M558" s="306">
        <f t="shared" ca="1" si="248"/>
        <v>1.2036418865474927</v>
      </c>
      <c r="N558" s="304">
        <f t="shared" ca="1" si="249"/>
        <v>68.963600144335587</v>
      </c>
      <c r="P558" s="310">
        <f t="shared" ca="1" si="250"/>
        <v>23</v>
      </c>
      <c r="Q558" s="304">
        <f t="shared" ca="1" si="251"/>
        <v>0</v>
      </c>
      <c r="R558" s="306">
        <f t="shared" ca="1" si="252"/>
        <v>0</v>
      </c>
      <c r="S558" s="307">
        <f t="shared" ca="1" si="253"/>
        <v>12.409999999999973</v>
      </c>
      <c r="T558" s="304">
        <f t="shared" ca="1" si="233"/>
        <v>121.74209999999975</v>
      </c>
      <c r="U558" s="311">
        <f t="shared" ca="1" si="234"/>
        <v>0</v>
      </c>
      <c r="V558" s="306">
        <f t="shared" ca="1" si="235"/>
        <v>1.0530713570877315</v>
      </c>
      <c r="W558" s="304">
        <f t="shared" ca="1" si="236"/>
        <v>38.995657558410024</v>
      </c>
      <c r="Y558" s="314" t="str">
        <f t="shared" ca="1" si="254"/>
        <v/>
      </c>
      <c r="Z558" s="315" t="str">
        <f t="shared" ca="1" si="255"/>
        <v/>
      </c>
      <c r="AA558" s="316" t="str">
        <f t="shared" ca="1" si="256"/>
        <v/>
      </c>
      <c r="AC558" s="310" t="e">
        <f t="shared" ca="1" si="257"/>
        <v>#N/A</v>
      </c>
      <c r="AD558" s="323" t="e">
        <f t="shared" ca="1" si="258"/>
        <v>#N/A</v>
      </c>
      <c r="AE558" s="324">
        <f t="shared" ca="1" si="237"/>
        <v>1509.42280519308</v>
      </c>
      <c r="AG558" s="306">
        <f t="shared" ca="1" si="259"/>
        <v>-12.37328762812578</v>
      </c>
      <c r="AH558" s="304">
        <f t="shared" ca="1" si="260"/>
        <v>-3.2074653655969283</v>
      </c>
    </row>
    <row r="559" spans="1:34" x14ac:dyDescent="0.25">
      <c r="A559" s="347">
        <f t="shared" ca="1" si="238"/>
        <v>0.1</v>
      </c>
      <c r="B559" s="304">
        <f t="shared" ca="1" si="239"/>
        <v>10.499999999999918</v>
      </c>
      <c r="D559" s="306">
        <f t="shared" ca="1" si="240"/>
        <v>-1.1279548257914098</v>
      </c>
      <c r="E559" s="307">
        <f t="shared" ca="1" si="241"/>
        <v>-12.742852306174594</v>
      </c>
      <c r="F559" s="304">
        <f t="shared" ca="1" si="242"/>
        <v>12.792676302713412</v>
      </c>
      <c r="G559" s="306">
        <f t="shared" ca="1" si="243"/>
        <v>45.598801346608838</v>
      </c>
      <c r="H559" s="307">
        <f t="shared" ca="1" si="244"/>
        <v>117.5827461982277</v>
      </c>
      <c r="I559" s="304">
        <f t="shared" ca="1" si="245"/>
        <v>126.11484007746402</v>
      </c>
      <c r="J559" s="306">
        <f t="shared" ca="1" si="246"/>
        <v>435.65972658752224</v>
      </c>
      <c r="K559" s="307">
        <f t="shared" ca="1" si="247"/>
        <v>1521.2447940744337</v>
      </c>
      <c r="L559" s="304">
        <f t="shared" ca="1" si="232"/>
        <v>1582.398534146465</v>
      </c>
      <c r="M559" s="306">
        <f t="shared" ca="1" si="248"/>
        <v>1.2008496602154279</v>
      </c>
      <c r="N559" s="304">
        <f t="shared" ca="1" si="249"/>
        <v>68.803617360062987</v>
      </c>
      <c r="P559" s="310">
        <f t="shared" ca="1" si="250"/>
        <v>23</v>
      </c>
      <c r="Q559" s="304">
        <f t="shared" ca="1" si="251"/>
        <v>0</v>
      </c>
      <c r="R559" s="306">
        <f t="shared" ca="1" si="252"/>
        <v>0</v>
      </c>
      <c r="S559" s="307">
        <f t="shared" ca="1" si="253"/>
        <v>12.409999999999973</v>
      </c>
      <c r="T559" s="304">
        <f t="shared" ca="1" si="233"/>
        <v>121.74209999999975</v>
      </c>
      <c r="U559" s="311">
        <f t="shared" ca="1" si="234"/>
        <v>0</v>
      </c>
      <c r="V559" s="306">
        <f t="shared" ca="1" si="235"/>
        <v>1.0518199734195415</v>
      </c>
      <c r="W559" s="304">
        <f t="shared" ca="1" si="236"/>
        <v>38.20093064486295</v>
      </c>
      <c r="Y559" s="314" t="str">
        <f t="shared" ca="1" si="254"/>
        <v/>
      </c>
      <c r="Z559" s="315" t="str">
        <f t="shared" ca="1" si="255"/>
        <v/>
      </c>
      <c r="AA559" s="316" t="str">
        <f t="shared" ca="1" si="256"/>
        <v/>
      </c>
      <c r="AC559" s="310" t="e">
        <f t="shared" ca="1" si="257"/>
        <v>#N/A</v>
      </c>
      <c r="AD559" s="323" t="e">
        <f t="shared" ca="1" si="258"/>
        <v>#N/A</v>
      </c>
      <c r="AE559" s="324">
        <f t="shared" ca="1" si="237"/>
        <v>1521.2447940744337</v>
      </c>
      <c r="AG559" s="306">
        <f t="shared" ca="1" si="259"/>
        <v>-12.298465690299819</v>
      </c>
      <c r="AH559" s="304">
        <f t="shared" ca="1" si="260"/>
        <v>-3.1422769990660844</v>
      </c>
    </row>
    <row r="560" spans="1:34" x14ac:dyDescent="0.25">
      <c r="A560" s="347">
        <f t="shared" ca="1" si="238"/>
        <v>0.1</v>
      </c>
      <c r="B560" s="304">
        <f t="shared" ca="1" si="239"/>
        <v>10.599999999999918</v>
      </c>
      <c r="D560" s="306">
        <f t="shared" ca="1" si="240"/>
        <v>-1.1129852140209497</v>
      </c>
      <c r="E560" s="307">
        <f t="shared" ca="1" si="241"/>
        <v>-12.679984606565498</v>
      </c>
      <c r="F560" s="304">
        <f t="shared" ca="1" si="242"/>
        <v>12.728737003700219</v>
      </c>
      <c r="G560" s="306">
        <f t="shared" ca="1" si="243"/>
        <v>45.487502825206739</v>
      </c>
      <c r="H560" s="307">
        <f t="shared" ca="1" si="244"/>
        <v>116.31474773757114</v>
      </c>
      <c r="I560" s="304">
        <f t="shared" ca="1" si="245"/>
        <v>124.89288792612652</v>
      </c>
      <c r="J560" s="306">
        <f t="shared" ca="1" si="246"/>
        <v>440.21404179611301</v>
      </c>
      <c r="K560" s="307">
        <f t="shared" ca="1" si="247"/>
        <v>1532.9396687712235</v>
      </c>
      <c r="L560" s="304">
        <f t="shared" ca="1" si="232"/>
        <v>1594.8957428894525</v>
      </c>
      <c r="M560" s="306">
        <f t="shared" ca="1" si="248"/>
        <v>1.1980096551398423</v>
      </c>
      <c r="N560" s="304">
        <f t="shared" ca="1" si="249"/>
        <v>68.640897055436199</v>
      </c>
      <c r="P560" s="310">
        <f t="shared" ca="1" si="250"/>
        <v>23</v>
      </c>
      <c r="Q560" s="304">
        <f t="shared" ca="1" si="251"/>
        <v>0</v>
      </c>
      <c r="R560" s="306">
        <f t="shared" ca="1" si="252"/>
        <v>0</v>
      </c>
      <c r="S560" s="307">
        <f t="shared" ca="1" si="253"/>
        <v>12.409999999999973</v>
      </c>
      <c r="T560" s="304">
        <f t="shared" ca="1" si="233"/>
        <v>121.74209999999975</v>
      </c>
      <c r="U560" s="311">
        <f t="shared" ca="1" si="234"/>
        <v>0</v>
      </c>
      <c r="V560" s="306">
        <f t="shared" ca="1" si="235"/>
        <v>1.0505833970530127</v>
      </c>
      <c r="W560" s="304">
        <f t="shared" ca="1" si="236"/>
        <v>37.420198922436484</v>
      </c>
      <c r="Y560" s="314" t="str">
        <f t="shared" ca="1" si="254"/>
        <v/>
      </c>
      <c r="Z560" s="315" t="str">
        <f t="shared" ca="1" si="255"/>
        <v/>
      </c>
      <c r="AA560" s="316" t="str">
        <f t="shared" ca="1" si="256"/>
        <v/>
      </c>
      <c r="AC560" s="310" t="e">
        <f t="shared" ca="1" si="257"/>
        <v>#N/A</v>
      </c>
      <c r="AD560" s="323" t="e">
        <f t="shared" ca="1" si="258"/>
        <v>#N/A</v>
      </c>
      <c r="AE560" s="324">
        <f t="shared" ca="1" si="237"/>
        <v>1532.9396687712235</v>
      </c>
      <c r="AG560" s="306">
        <f t="shared" ca="1" si="259"/>
        <v>-12.224558208376713</v>
      </c>
      <c r="AH560" s="304">
        <f t="shared" ca="1" si="260"/>
        <v>-3.0782377634861429</v>
      </c>
    </row>
    <row r="561" spans="1:34" x14ac:dyDescent="0.25">
      <c r="A561" s="347">
        <f t="shared" ca="1" si="238"/>
        <v>0.1</v>
      </c>
      <c r="B561" s="304">
        <f t="shared" ca="1" si="239"/>
        <v>10.699999999999918</v>
      </c>
      <c r="D561" s="306">
        <f t="shared" ca="1" si="240"/>
        <v>-1.0982183547805726</v>
      </c>
      <c r="E561" s="307">
        <f t="shared" ca="1" si="241"/>
        <v>-12.618221664485098</v>
      </c>
      <c r="F561" s="304">
        <f t="shared" ca="1" si="242"/>
        <v>12.665922845527602</v>
      </c>
      <c r="G561" s="306">
        <f t="shared" ca="1" si="243"/>
        <v>45.377680989728681</v>
      </c>
      <c r="H561" s="307">
        <f t="shared" ca="1" si="244"/>
        <v>115.05292557112263</v>
      </c>
      <c r="I561" s="304">
        <f t="shared" ca="1" si="245"/>
        <v>123.67825036957737</v>
      </c>
      <c r="J561" s="306">
        <f t="shared" ca="1" si="246"/>
        <v>444.75730098685978</v>
      </c>
      <c r="K561" s="307">
        <f t="shared" ca="1" si="247"/>
        <v>1544.5080524366583</v>
      </c>
      <c r="L561" s="304">
        <f t="shared" ca="1" si="232"/>
        <v>1607.2691687526378</v>
      </c>
      <c r="M561" s="306">
        <f t="shared" ca="1" si="248"/>
        <v>1.1951207673972679</v>
      </c>
      <c r="N561" s="304">
        <f t="shared" ca="1" si="249"/>
        <v>68.475375980299603</v>
      </c>
      <c r="P561" s="310">
        <f t="shared" ca="1" si="250"/>
        <v>23</v>
      </c>
      <c r="Q561" s="304">
        <f t="shared" ca="1" si="251"/>
        <v>0</v>
      </c>
      <c r="R561" s="306">
        <f t="shared" ca="1" si="252"/>
        <v>0</v>
      </c>
      <c r="S561" s="307">
        <f t="shared" ca="1" si="253"/>
        <v>12.409999999999973</v>
      </c>
      <c r="T561" s="304">
        <f t="shared" ca="1" si="233"/>
        <v>121.74209999999975</v>
      </c>
      <c r="U561" s="311">
        <f t="shared" ca="1" si="234"/>
        <v>0</v>
      </c>
      <c r="V561" s="306">
        <f t="shared" ca="1" si="235"/>
        <v>1.0493615162035768</v>
      </c>
      <c r="W561" s="304">
        <f t="shared" ca="1" si="236"/>
        <v>36.653203775920623</v>
      </c>
      <c r="Y561" s="314" t="str">
        <f t="shared" ca="1" si="254"/>
        <v/>
      </c>
      <c r="Z561" s="315" t="str">
        <f t="shared" ca="1" si="255"/>
        <v/>
      </c>
      <c r="AA561" s="316" t="str">
        <f t="shared" ca="1" si="256"/>
        <v/>
      </c>
      <c r="AC561" s="310" t="e">
        <f t="shared" ca="1" si="257"/>
        <v>#N/A</v>
      </c>
      <c r="AD561" s="323" t="e">
        <f t="shared" ca="1" si="258"/>
        <v>#N/A</v>
      </c>
      <c r="AE561" s="324">
        <f t="shared" ca="1" si="237"/>
        <v>1544.5080524366583</v>
      </c>
      <c r="AG561" s="306">
        <f t="shared" ca="1" si="259"/>
        <v>-12.151536452698496</v>
      </c>
      <c r="AH561" s="304">
        <f t="shared" ca="1" si="260"/>
        <v>-3.0153262628877164</v>
      </c>
    </row>
    <row r="562" spans="1:34" x14ac:dyDescent="0.25">
      <c r="A562" s="347">
        <f t="shared" ca="1" si="238"/>
        <v>0.1</v>
      </c>
      <c r="B562" s="304">
        <f t="shared" ca="1" si="239"/>
        <v>10.799999999999917</v>
      </c>
      <c r="D562" s="306">
        <f t="shared" ca="1" si="240"/>
        <v>-1.0836502230020268</v>
      </c>
      <c r="E562" s="307">
        <f t="shared" ca="1" si="241"/>
        <v>-12.557542971188932</v>
      </c>
      <c r="F562" s="304">
        <f t="shared" ca="1" si="242"/>
        <v>12.604212917872694</v>
      </c>
      <c r="G562" s="306">
        <f t="shared" ca="1" si="243"/>
        <v>45.269315967428476</v>
      </c>
      <c r="H562" s="307">
        <f t="shared" ca="1" si="244"/>
        <v>113.79717127400373</v>
      </c>
      <c r="I562" s="304">
        <f t="shared" ca="1" si="245"/>
        <v>122.47084207322089</v>
      </c>
      <c r="J562" s="306">
        <f t="shared" ca="1" si="246"/>
        <v>449.28965083471763</v>
      </c>
      <c r="K562" s="307">
        <f t="shared" ca="1" si="247"/>
        <v>1555.9505572789146</v>
      </c>
      <c r="L562" s="304">
        <f t="shared" ca="1" si="232"/>
        <v>1619.5194741168591</v>
      </c>
      <c r="M562" s="306">
        <f t="shared" ca="1" si="248"/>
        <v>1.1921818600577714</v>
      </c>
      <c r="N562" s="304">
        <f t="shared" ca="1" si="249"/>
        <v>68.306988993366431</v>
      </c>
      <c r="P562" s="310">
        <f t="shared" ca="1" si="250"/>
        <v>23</v>
      </c>
      <c r="Q562" s="304">
        <f t="shared" ca="1" si="251"/>
        <v>0</v>
      </c>
      <c r="R562" s="306">
        <f t="shared" ca="1" si="252"/>
        <v>0</v>
      </c>
      <c r="S562" s="307">
        <f t="shared" ca="1" si="253"/>
        <v>12.409999999999973</v>
      </c>
      <c r="T562" s="304">
        <f t="shared" ca="1" si="233"/>
        <v>121.74209999999975</v>
      </c>
      <c r="U562" s="311">
        <f t="shared" ca="1" si="234"/>
        <v>0</v>
      </c>
      <c r="V562" s="306">
        <f t="shared" ca="1" si="235"/>
        <v>1.0481542211416841</v>
      </c>
      <c r="W562" s="304">
        <f t="shared" ca="1" si="236"/>
        <v>35.899693293387159</v>
      </c>
      <c r="Y562" s="314" t="str">
        <f t="shared" ca="1" si="254"/>
        <v/>
      </c>
      <c r="Z562" s="315" t="str">
        <f t="shared" ca="1" si="255"/>
        <v/>
      </c>
      <c r="AA562" s="316" t="str">
        <f t="shared" ca="1" si="256"/>
        <v/>
      </c>
      <c r="AC562" s="310" t="e">
        <f t="shared" ca="1" si="257"/>
        <v>#N/A</v>
      </c>
      <c r="AD562" s="323" t="e">
        <f t="shared" ca="1" si="258"/>
        <v>#N/A</v>
      </c>
      <c r="AE562" s="324">
        <f t="shared" ca="1" si="237"/>
        <v>1555.9505572789146</v>
      </c>
      <c r="AG562" s="306">
        <f t="shared" ca="1" si="259"/>
        <v>-12.079371971061574</v>
      </c>
      <c r="AH562" s="304">
        <f t="shared" ca="1" si="260"/>
        <v>-2.9535216580113377</v>
      </c>
    </row>
    <row r="563" spans="1:34" x14ac:dyDescent="0.25">
      <c r="A563" s="347">
        <f t="shared" ca="1" si="238"/>
        <v>0.1</v>
      </c>
      <c r="B563" s="304">
        <f t="shared" ca="1" si="239"/>
        <v>10.899999999999917</v>
      </c>
      <c r="D563" s="306">
        <f t="shared" ca="1" si="240"/>
        <v>-1.0692769008147442</v>
      </c>
      <c r="E563" s="307">
        <f t="shared" ca="1" si="241"/>
        <v>-12.497928545439063</v>
      </c>
      <c r="F563" s="304">
        <f t="shared" ca="1" si="242"/>
        <v>12.543586848167335</v>
      </c>
      <c r="G563" s="306">
        <f t="shared" ca="1" si="243"/>
        <v>45.162388277346999</v>
      </c>
      <c r="H563" s="307">
        <f t="shared" ca="1" si="244"/>
        <v>112.54737841945982</v>
      </c>
      <c r="I563" s="304">
        <f t="shared" ca="1" si="245"/>
        <v>121.27058053793154</v>
      </c>
      <c r="J563" s="306">
        <f t="shared" ca="1" si="246"/>
        <v>453.81123604695642</v>
      </c>
      <c r="K563" s="307">
        <f t="shared" ca="1" si="247"/>
        <v>1567.2677847635878</v>
      </c>
      <c r="L563" s="304">
        <f t="shared" ca="1" si="232"/>
        <v>1631.6473108856062</v>
      </c>
      <c r="M563" s="306">
        <f t="shared" ca="1" si="248"/>
        <v>1.1891917620320704</v>
      </c>
      <c r="N563" s="304">
        <f t="shared" ca="1" si="249"/>
        <v>68.135668996163375</v>
      </c>
      <c r="P563" s="310">
        <f t="shared" ca="1" si="250"/>
        <v>23</v>
      </c>
      <c r="Q563" s="304">
        <f t="shared" ca="1" si="251"/>
        <v>0</v>
      </c>
      <c r="R563" s="306">
        <f t="shared" ca="1" si="252"/>
        <v>0</v>
      </c>
      <c r="S563" s="307">
        <f t="shared" ca="1" si="253"/>
        <v>12.409999999999973</v>
      </c>
      <c r="T563" s="304">
        <f t="shared" ca="1" si="233"/>
        <v>121.74209999999975</v>
      </c>
      <c r="U563" s="311">
        <f t="shared" ca="1" si="234"/>
        <v>0</v>
      </c>
      <c r="V563" s="306">
        <f t="shared" ca="1" si="235"/>
        <v>1.0469614041522934</v>
      </c>
      <c r="W563" s="304">
        <f t="shared" ca="1" si="236"/>
        <v>35.159422068000787</v>
      </c>
      <c r="Y563" s="314" t="str">
        <f t="shared" ca="1" si="254"/>
        <v/>
      </c>
      <c r="Z563" s="315" t="str">
        <f t="shared" ca="1" si="255"/>
        <v/>
      </c>
      <c r="AA563" s="316" t="str">
        <f t="shared" ca="1" si="256"/>
        <v/>
      </c>
      <c r="AC563" s="310" t="e">
        <f t="shared" ca="1" si="257"/>
        <v>#N/A</v>
      </c>
      <c r="AD563" s="323" t="e">
        <f t="shared" ca="1" si="258"/>
        <v>#N/A</v>
      </c>
      <c r="AE563" s="324">
        <f t="shared" ca="1" si="237"/>
        <v>1567.2677847635878</v>
      </c>
      <c r="AG563" s="306">
        <f t="shared" ca="1" si="259"/>
        <v>-12.008036559885866</v>
      </c>
      <c r="AH563" s="304">
        <f t="shared" ca="1" si="260"/>
        <v>-2.8928036497491729</v>
      </c>
    </row>
    <row r="564" spans="1:34" x14ac:dyDescent="0.25">
      <c r="A564" s="347">
        <f t="shared" ca="1" si="238"/>
        <v>0.1</v>
      </c>
      <c r="B564" s="304">
        <f t="shared" ca="1" si="239"/>
        <v>10.999999999999917</v>
      </c>
      <c r="D564" s="306">
        <f t="shared" ca="1" si="240"/>
        <v>-1.0550945746549534</v>
      </c>
      <c r="E564" s="307">
        <f t="shared" ca="1" si="241"/>
        <v>-12.43935891770748</v>
      </c>
      <c r="F564" s="304">
        <f t="shared" ca="1" si="242"/>
        <v>12.484024785501466</v>
      </c>
      <c r="G564" s="306">
        <f t="shared" ca="1" si="243"/>
        <v>45.056878819881504</v>
      </c>
      <c r="H564" s="307">
        <f t="shared" ca="1" si="244"/>
        <v>111.30344252768907</v>
      </c>
      <c r="I564" s="304">
        <f t="shared" ca="1" si="245"/>
        <v>120.07738607874536</v>
      </c>
      <c r="J564" s="306">
        <f t="shared" ca="1" si="246"/>
        <v>458.32219940181784</v>
      </c>
      <c r="K564" s="307">
        <f t="shared" ca="1" si="247"/>
        <v>1578.4603258109453</v>
      </c>
      <c r="L564" s="304">
        <f t="shared" ca="1" si="232"/>
        <v>1643.653320692571</v>
      </c>
      <c r="M564" s="306">
        <f t="shared" ca="1" si="248"/>
        <v>1.1861492668744242</v>
      </c>
      <c r="N564" s="304">
        <f t="shared" ca="1" si="249"/>
        <v>67.961346864441254</v>
      </c>
      <c r="P564" s="310">
        <f t="shared" ca="1" si="250"/>
        <v>23</v>
      </c>
      <c r="Q564" s="304">
        <f t="shared" ca="1" si="251"/>
        <v>0</v>
      </c>
      <c r="R564" s="306">
        <f t="shared" ca="1" si="252"/>
        <v>0</v>
      </c>
      <c r="S564" s="307">
        <f t="shared" ca="1" si="253"/>
        <v>12.409999999999973</v>
      </c>
      <c r="T564" s="304">
        <f t="shared" ca="1" si="233"/>
        <v>121.74209999999975</v>
      </c>
      <c r="U564" s="311">
        <f t="shared" ca="1" si="234"/>
        <v>0</v>
      </c>
      <c r="V564" s="306">
        <f t="shared" ca="1" si="235"/>
        <v>1.045782959495444</v>
      </c>
      <c r="W564" s="304">
        <f t="shared" ca="1" si="236"/>
        <v>34.432151006835589</v>
      </c>
      <c r="Y564" s="314" t="str">
        <f t="shared" ca="1" si="254"/>
        <v/>
      </c>
      <c r="Z564" s="315" t="str">
        <f t="shared" ca="1" si="255"/>
        <v/>
      </c>
      <c r="AA564" s="316" t="str">
        <f t="shared" ca="1" si="256"/>
        <v/>
      </c>
      <c r="AC564" s="310">
        <f t="shared" ca="1" si="257"/>
        <v>10.999999999999917</v>
      </c>
      <c r="AD564" s="323">
        <f t="shared" ca="1" si="258"/>
        <v>458.32219940181784</v>
      </c>
      <c r="AE564" s="324">
        <f t="shared" ca="1" si="237"/>
        <v>1578.4603258109453</v>
      </c>
      <c r="AG564" s="306">
        <f t="shared" ca="1" si="259"/>
        <v>-11.937502235373461</v>
      </c>
      <c r="AH564" s="304">
        <f t="shared" ca="1" si="260"/>
        <v>-2.8331524631749283</v>
      </c>
    </row>
    <row r="565" spans="1:34" x14ac:dyDescent="0.25">
      <c r="A565" s="347">
        <f t="shared" ca="1" si="238"/>
        <v>0.1</v>
      </c>
      <c r="B565" s="304">
        <f t="shared" ca="1" si="239"/>
        <v>11.099999999999916</v>
      </c>
      <c r="D565" s="306">
        <f t="shared" ca="1" si="240"/>
        <v>-1.0410995324924464</v>
      </c>
      <c r="E565" s="307">
        <f t="shared" ca="1" si="241"/>
        <v>-12.381815114926368</v>
      </c>
      <c r="F565" s="304">
        <f t="shared" ca="1" si="242"/>
        <v>12.425507385083922</v>
      </c>
      <c r="G565" s="306">
        <f t="shared" ca="1" si="243"/>
        <v>44.952768866632262</v>
      </c>
      <c r="H565" s="307">
        <f t="shared" ca="1" si="244"/>
        <v>110.06526101619643</v>
      </c>
      <c r="I565" s="304">
        <f t="shared" ca="1" si="245"/>
        <v>118.89118180647509</v>
      </c>
      <c r="J565" s="306">
        <f t="shared" ca="1" si="246"/>
        <v>462.82268178614351</v>
      </c>
      <c r="K565" s="307">
        <f t="shared" ca="1" si="247"/>
        <v>1589.5287609881395</v>
      </c>
      <c r="L565" s="304">
        <f t="shared" ca="1" si="232"/>
        <v>1655.5381351041744</v>
      </c>
      <c r="M565" s="306">
        <f t="shared" ca="1" si="248"/>
        <v>1.1830531315396176</v>
      </c>
      <c r="N565" s="304">
        <f t="shared" ca="1" si="249"/>
        <v>67.7839513769555</v>
      </c>
      <c r="P565" s="310">
        <f t="shared" ca="1" si="250"/>
        <v>23</v>
      </c>
      <c r="Q565" s="304">
        <f t="shared" ca="1" si="251"/>
        <v>0</v>
      </c>
      <c r="R565" s="306">
        <f t="shared" ca="1" si="252"/>
        <v>0</v>
      </c>
      <c r="S565" s="307">
        <f t="shared" ca="1" si="253"/>
        <v>12.409999999999973</v>
      </c>
      <c r="T565" s="304">
        <f t="shared" ca="1" si="233"/>
        <v>121.74209999999975</v>
      </c>
      <c r="U565" s="311">
        <f t="shared" ca="1" si="234"/>
        <v>0</v>
      </c>
      <c r="V565" s="306">
        <f t="shared" ca="1" si="235"/>
        <v>1.0446187833678917</v>
      </c>
      <c r="W565" s="304">
        <f t="shared" ca="1" si="236"/>
        <v>33.717647146417427</v>
      </c>
      <c r="Y565" s="314" t="str">
        <f t="shared" ca="1" si="254"/>
        <v/>
      </c>
      <c r="Z565" s="315" t="str">
        <f t="shared" ca="1" si="255"/>
        <v/>
      </c>
      <c r="AA565" s="316" t="str">
        <f t="shared" ca="1" si="256"/>
        <v/>
      </c>
      <c r="AC565" s="310" t="e">
        <f t="shared" ca="1" si="257"/>
        <v>#N/A</v>
      </c>
      <c r="AD565" s="323" t="e">
        <f t="shared" ca="1" si="258"/>
        <v>#N/A</v>
      </c>
      <c r="AE565" s="324">
        <f t="shared" ca="1" si="237"/>
        <v>1589.5287609881395</v>
      </c>
      <c r="AG565" s="306">
        <f t="shared" ca="1" si="259"/>
        <v>-11.86774120460198</v>
      </c>
      <c r="AH565" s="304">
        <f t="shared" ca="1" si="260"/>
        <v>-2.7745488321382483</v>
      </c>
    </row>
    <row r="566" spans="1:34" x14ac:dyDescent="0.25">
      <c r="A566" s="347">
        <f t="shared" ca="1" si="238"/>
        <v>0.1</v>
      </c>
      <c r="B566" s="304">
        <f t="shared" ca="1" si="239"/>
        <v>11.199999999999916</v>
      </c>
      <c r="D566" s="306">
        <f t="shared" ca="1" si="240"/>
        <v>-1.0272881611711191</v>
      </c>
      <c r="E566" s="307">
        <f t="shared" ca="1" si="241"/>
        <v>-12.325278645762728</v>
      </c>
      <c r="F566" s="304">
        <f t="shared" ca="1" si="242"/>
        <v>12.368015793237696</v>
      </c>
      <c r="G566" s="306">
        <f t="shared" ca="1" si="243"/>
        <v>44.850040050515148</v>
      </c>
      <c r="H566" s="307">
        <f t="shared" ca="1" si="244"/>
        <v>108.83273315162016</v>
      </c>
      <c r="I566" s="304">
        <f t="shared" ca="1" si="245"/>
        <v>117.71189361226237</v>
      </c>
      <c r="J566" s="306">
        <f t="shared" ca="1" si="246"/>
        <v>467.31282223200088</v>
      </c>
      <c r="K566" s="307">
        <f t="shared" ca="1" si="247"/>
        <v>1600.4736606965303</v>
      </c>
      <c r="L566" s="304">
        <f t="shared" ca="1" si="232"/>
        <v>1667.302375817233</v>
      </c>
      <c r="M566" s="306">
        <f t="shared" ca="1" si="248"/>
        <v>1.1799020750923048</v>
      </c>
      <c r="N566" s="304">
        <f t="shared" ca="1" si="249"/>
        <v>67.603409141517005</v>
      </c>
      <c r="P566" s="310">
        <f t="shared" ca="1" si="250"/>
        <v>23</v>
      </c>
      <c r="Q566" s="304">
        <f t="shared" ca="1" si="251"/>
        <v>0</v>
      </c>
      <c r="R566" s="306">
        <f t="shared" ca="1" si="252"/>
        <v>0</v>
      </c>
      <c r="S566" s="307">
        <f t="shared" ca="1" si="253"/>
        <v>12.409999999999973</v>
      </c>
      <c r="T566" s="304">
        <f t="shared" ca="1" si="233"/>
        <v>121.74209999999975</v>
      </c>
      <c r="U566" s="311">
        <f t="shared" ca="1" si="234"/>
        <v>0</v>
      </c>
      <c r="V566" s="306">
        <f t="shared" ca="1" si="235"/>
        <v>1.0434687738657646</v>
      </c>
      <c r="W566" s="304">
        <f t="shared" ca="1" si="236"/>
        <v>33.015683474724447</v>
      </c>
      <c r="Y566" s="314" t="str">
        <f t="shared" ca="1" si="254"/>
        <v/>
      </c>
      <c r="Z566" s="315" t="str">
        <f t="shared" ca="1" si="255"/>
        <v/>
      </c>
      <c r="AA566" s="316" t="str">
        <f t="shared" ca="1" si="256"/>
        <v/>
      </c>
      <c r="AC566" s="310" t="e">
        <f t="shared" ca="1" si="257"/>
        <v>#N/A</v>
      </c>
      <c r="AD566" s="323" t="e">
        <f t="shared" ca="1" si="258"/>
        <v>#N/A</v>
      </c>
      <c r="AE566" s="324">
        <f t="shared" ca="1" si="237"/>
        <v>1600.4736606965303</v>
      </c>
      <c r="AG566" s="306">
        <f t="shared" ca="1" si="259"/>
        <v>-11.798725836497507</v>
      </c>
      <c r="AH566" s="304">
        <f t="shared" ca="1" si="260"/>
        <v>-2.7169739844010876</v>
      </c>
    </row>
    <row r="567" spans="1:34" x14ac:dyDescent="0.25">
      <c r="A567" s="347">
        <f t="shared" ca="1" si="238"/>
        <v>0.1</v>
      </c>
      <c r="B567" s="304">
        <f t="shared" ca="1" si="239"/>
        <v>11.299999999999915</v>
      </c>
      <c r="D567" s="306">
        <f t="shared" ca="1" si="240"/>
        <v>-1.013656943859611</v>
      </c>
      <c r="E567" s="307">
        <f t="shared" ca="1" si="241"/>
        <v>-12.269731486395692</v>
      </c>
      <c r="F567" s="304">
        <f t="shared" ca="1" si="242"/>
        <v>12.311531632907606</v>
      </c>
      <c r="G567" s="306">
        <f t="shared" ca="1" si="243"/>
        <v>44.748674356129186</v>
      </c>
      <c r="H567" s="307">
        <f t="shared" ca="1" si="244"/>
        <v>107.60576000298059</v>
      </c>
      <c r="I567" s="304">
        <f t="shared" ca="1" si="245"/>
        <v>116.53945015508677</v>
      </c>
      <c r="J567" s="306">
        <f t="shared" ca="1" si="246"/>
        <v>471.79275795233309</v>
      </c>
      <c r="K567" s="307">
        <f t="shared" ca="1" si="247"/>
        <v>1611.2955853542603</v>
      </c>
      <c r="L567" s="304">
        <f t="shared" ca="1" si="232"/>
        <v>1678.9466548519035</v>
      </c>
      <c r="M567" s="306">
        <f t="shared" ca="1" si="248"/>
        <v>1.1766947773669363</v>
      </c>
      <c r="N567" s="304">
        <f t="shared" ca="1" si="249"/>
        <v>67.41964451821147</v>
      </c>
      <c r="P567" s="310">
        <f t="shared" ca="1" si="250"/>
        <v>23</v>
      </c>
      <c r="Q567" s="304">
        <f t="shared" ca="1" si="251"/>
        <v>0</v>
      </c>
      <c r="R567" s="306">
        <f t="shared" ca="1" si="252"/>
        <v>0</v>
      </c>
      <c r="S567" s="307">
        <f t="shared" ca="1" si="253"/>
        <v>12.409999999999973</v>
      </c>
      <c r="T567" s="304">
        <f t="shared" ca="1" si="233"/>
        <v>121.74209999999975</v>
      </c>
      <c r="U567" s="311">
        <f t="shared" ca="1" si="234"/>
        <v>0</v>
      </c>
      <c r="V567" s="306">
        <f t="shared" ca="1" si="235"/>
        <v>1.042332830948218</v>
      </c>
      <c r="W567" s="304">
        <f t="shared" ca="1" si="236"/>
        <v>32.32603875939072</v>
      </c>
      <c r="Y567" s="314" t="str">
        <f t="shared" ca="1" si="254"/>
        <v/>
      </c>
      <c r="Z567" s="315" t="str">
        <f t="shared" ca="1" si="255"/>
        <v/>
      </c>
      <c r="AA567" s="316" t="str">
        <f t="shared" ca="1" si="256"/>
        <v/>
      </c>
      <c r="AC567" s="310" t="e">
        <f t="shared" ca="1" si="257"/>
        <v>#N/A</v>
      </c>
      <c r="AD567" s="323" t="e">
        <f t="shared" ca="1" si="258"/>
        <v>#N/A</v>
      </c>
      <c r="AE567" s="324">
        <f t="shared" ca="1" si="237"/>
        <v>1611.2955853542603</v>
      </c>
      <c r="AG567" s="306">
        <f t="shared" ca="1" si="259"/>
        <v>-11.730428632631206</v>
      </c>
      <c r="AH567" s="304">
        <f t="shared" ca="1" si="260"/>
        <v>-2.6604096272944817</v>
      </c>
    </row>
    <row r="568" spans="1:34" x14ac:dyDescent="0.25">
      <c r="A568" s="347">
        <f t="shared" ca="1" si="238"/>
        <v>0.1</v>
      </c>
      <c r="B568" s="304">
        <f t="shared" ca="1" si="239"/>
        <v>11.399999999999915</v>
      </c>
      <c r="D568" s="306">
        <f t="shared" ca="1" si="240"/>
        <v>-1.0002024576085946</v>
      </c>
      <c r="E568" s="307">
        <f t="shared" ca="1" si="241"/>
        <v>-12.215156066775869</v>
      </c>
      <c r="F568" s="304">
        <f t="shared" ca="1" si="242"/>
        <v>12.256036989659323</v>
      </c>
      <c r="G568" s="306">
        <f t="shared" ca="1" si="243"/>
        <v>44.648654110368327</v>
      </c>
      <c r="H568" s="307">
        <f t="shared" ca="1" si="244"/>
        <v>106.384244396303</v>
      </c>
      <c r="I568" s="304">
        <f t="shared" ca="1" si="245"/>
        <v>115.37378285225651</v>
      </c>
      <c r="J568" s="306">
        <f t="shared" ca="1" si="246"/>
        <v>476.26262437565799</v>
      </c>
      <c r="K568" s="307">
        <f t="shared" ca="1" si="247"/>
        <v>1621.9950855742245</v>
      </c>
      <c r="L568" s="304">
        <f t="shared" ca="1" si="232"/>
        <v>1690.471574740056</v>
      </c>
      <c r="M568" s="306">
        <f t="shared" ca="1" si="248"/>
        <v>1.1734298775764478</v>
      </c>
      <c r="N568" s="304">
        <f t="shared" ca="1" si="249"/>
        <v>67.232579539683329</v>
      </c>
      <c r="P568" s="310">
        <f t="shared" ca="1" si="250"/>
        <v>23</v>
      </c>
      <c r="Q568" s="304">
        <f t="shared" ca="1" si="251"/>
        <v>0</v>
      </c>
      <c r="R568" s="306">
        <f t="shared" ca="1" si="252"/>
        <v>0</v>
      </c>
      <c r="S568" s="307">
        <f t="shared" ca="1" si="253"/>
        <v>12.409999999999973</v>
      </c>
      <c r="T568" s="304">
        <f t="shared" ca="1" si="233"/>
        <v>121.74209999999975</v>
      </c>
      <c r="U568" s="311">
        <f t="shared" ca="1" si="234"/>
        <v>0</v>
      </c>
      <c r="V568" s="306">
        <f t="shared" ca="1" si="235"/>
        <v>1.0412108564020464</v>
      </c>
      <c r="W568" s="304">
        <f t="shared" ca="1" si="236"/>
        <v>31.648497381868314</v>
      </c>
      <c r="Y568" s="314" t="str">
        <f t="shared" ca="1" si="254"/>
        <v/>
      </c>
      <c r="Z568" s="315" t="str">
        <f t="shared" ca="1" si="255"/>
        <v/>
      </c>
      <c r="AA568" s="316" t="str">
        <f t="shared" ca="1" si="256"/>
        <v/>
      </c>
      <c r="AC568" s="310" t="e">
        <f t="shared" ca="1" si="257"/>
        <v>#N/A</v>
      </c>
      <c r="AD568" s="323" t="e">
        <f t="shared" ca="1" si="258"/>
        <v>#N/A</v>
      </c>
      <c r="AE568" s="324">
        <f t="shared" ca="1" si="237"/>
        <v>1621.9950855742245</v>
      </c>
      <c r="AG568" s="306">
        <f t="shared" ca="1" si="259"/>
        <v>-11.662822197782932</v>
      </c>
      <c r="AH568" s="304">
        <f t="shared" ca="1" si="260"/>
        <v>-2.6048379338751642</v>
      </c>
    </row>
    <row r="569" spans="1:34" x14ac:dyDescent="0.25">
      <c r="A569" s="347">
        <f t="shared" ca="1" si="238"/>
        <v>0.1</v>
      </c>
      <c r="B569" s="304">
        <f t="shared" ca="1" si="239"/>
        <v>11.499999999999915</v>
      </c>
      <c r="D569" s="306">
        <f t="shared" ca="1" si="240"/>
        <v>-0.98692137101143573</v>
      </c>
      <c r="E569" s="307">
        <f t="shared" ca="1" si="241"/>
        <v>-12.16153525734684</v>
      </c>
      <c r="F569" s="304">
        <f t="shared" ca="1" si="242"/>
        <v>12.201514398149492</v>
      </c>
      <c r="G569" s="306">
        <f t="shared" ca="1" si="243"/>
        <v>44.54996197326718</v>
      </c>
      <c r="H569" s="307">
        <f t="shared" ca="1" si="244"/>
        <v>105.16809087056832</v>
      </c>
      <c r="I569" s="304">
        <f t="shared" ca="1" si="245"/>
        <v>114.21482587291226</v>
      </c>
      <c r="J569" s="306">
        <f t="shared" ca="1" si="246"/>
        <v>480.72255517983979</v>
      </c>
      <c r="K569" s="307">
        <f t="shared" ca="1" si="247"/>
        <v>1632.572702337568</v>
      </c>
      <c r="L569" s="304">
        <f t="shared" ca="1" si="232"/>
        <v>1701.8777287092112</v>
      </c>
      <c r="M569" s="306">
        <f t="shared" ca="1" si="248"/>
        <v>1.1701059728678438</v>
      </c>
      <c r="N569" s="304">
        <f t="shared" ca="1" si="249"/>
        <v>67.042133828376663</v>
      </c>
      <c r="P569" s="310">
        <f t="shared" ca="1" si="250"/>
        <v>23</v>
      </c>
      <c r="Q569" s="304">
        <f t="shared" ca="1" si="251"/>
        <v>0</v>
      </c>
      <c r="R569" s="306">
        <f t="shared" ca="1" si="252"/>
        <v>0</v>
      </c>
      <c r="S569" s="307">
        <f t="shared" ca="1" si="253"/>
        <v>12.409999999999973</v>
      </c>
      <c r="T569" s="304">
        <f t="shared" ca="1" si="233"/>
        <v>121.74209999999975</v>
      </c>
      <c r="U569" s="311">
        <f t="shared" ca="1" si="234"/>
        <v>0</v>
      </c>
      <c r="V569" s="306">
        <f t="shared" ca="1" si="235"/>
        <v>1.0401027538072329</v>
      </c>
      <c r="W569" s="304">
        <f t="shared" ca="1" si="236"/>
        <v>30.982849177315174</v>
      </c>
      <c r="Y569" s="314" t="str">
        <f t="shared" ca="1" si="254"/>
        <v/>
      </c>
      <c r="Z569" s="315" t="str">
        <f t="shared" ca="1" si="255"/>
        <v/>
      </c>
      <c r="AA569" s="316" t="str">
        <f t="shared" ca="1" si="256"/>
        <v/>
      </c>
      <c r="AC569" s="310" t="e">
        <f t="shared" ca="1" si="257"/>
        <v>#N/A</v>
      </c>
      <c r="AD569" s="323" t="e">
        <f t="shared" ca="1" si="258"/>
        <v>#N/A</v>
      </c>
      <c r="AE569" s="324">
        <f t="shared" ca="1" si="237"/>
        <v>1632.572702337568</v>
      </c>
      <c r="AG569" s="306">
        <f t="shared" ca="1" si="259"/>
        <v>-11.595879210214315</v>
      </c>
      <c r="AH569" s="304">
        <f t="shared" ca="1" si="260"/>
        <v>-2.5502415295623191</v>
      </c>
    </row>
    <row r="570" spans="1:34" x14ac:dyDescent="0.25">
      <c r="A570" s="347">
        <f t="shared" ca="1" si="238"/>
        <v>0.1</v>
      </c>
      <c r="B570" s="304">
        <f t="shared" ca="1" si="239"/>
        <v>11.599999999999914</v>
      </c>
      <c r="D570" s="306">
        <f t="shared" ca="1" si="240"/>
        <v>-0.97381044196518807</v>
      </c>
      <c r="E570" s="307">
        <f t="shared" ca="1" si="241"/>
        <v>-12.108852356209823</v>
      </c>
      <c r="F570" s="304">
        <f t="shared" ca="1" si="242"/>
        <v>12.14794682904764</v>
      </c>
      <c r="G570" s="306">
        <f t="shared" ca="1" si="243"/>
        <v>44.452580929070663</v>
      </c>
      <c r="H570" s="307">
        <f t="shared" ca="1" si="244"/>
        <v>103.95720563494734</v>
      </c>
      <c r="I570" s="304">
        <f t="shared" ca="1" si="245"/>
        <v>113.06251613458063</v>
      </c>
      <c r="J570" s="306">
        <f t="shared" ca="1" si="246"/>
        <v>485.17268232495667</v>
      </c>
      <c r="K570" s="307">
        <f t="shared" ca="1" si="247"/>
        <v>1643.0289671628439</v>
      </c>
      <c r="L570" s="304">
        <f t="shared" ca="1" si="232"/>
        <v>1713.1657008621773</v>
      </c>
      <c r="M570" s="306">
        <f t="shared" ca="1" si="248"/>
        <v>1.1667216168227716</v>
      </c>
      <c r="N570" s="304">
        <f t="shared" ca="1" si="249"/>
        <v>66.848224510624448</v>
      </c>
      <c r="P570" s="310">
        <f t="shared" ca="1" si="250"/>
        <v>23</v>
      </c>
      <c r="Q570" s="304">
        <f t="shared" ca="1" si="251"/>
        <v>0</v>
      </c>
      <c r="R570" s="306">
        <f t="shared" ca="1" si="252"/>
        <v>0</v>
      </c>
      <c r="S570" s="307">
        <f t="shared" ca="1" si="253"/>
        <v>12.409999999999973</v>
      </c>
      <c r="T570" s="304">
        <f t="shared" ca="1" si="233"/>
        <v>121.74209999999975</v>
      </c>
      <c r="U570" s="311">
        <f t="shared" ca="1" si="234"/>
        <v>0</v>
      </c>
      <c r="V570" s="306">
        <f t="shared" ca="1" si="235"/>
        <v>1.0390084285034038</v>
      </c>
      <c r="W570" s="304">
        <f t="shared" ca="1" si="236"/>
        <v>30.328889279985404</v>
      </c>
      <c r="Y570" s="314" t="str">
        <f t="shared" ca="1" si="254"/>
        <v/>
      </c>
      <c r="Z570" s="315" t="str">
        <f t="shared" ca="1" si="255"/>
        <v/>
      </c>
      <c r="AA570" s="316" t="str">
        <f t="shared" ca="1" si="256"/>
        <v/>
      </c>
      <c r="AC570" s="310" t="e">
        <f t="shared" ca="1" si="257"/>
        <v>#N/A</v>
      </c>
      <c r="AD570" s="323" t="e">
        <f t="shared" ca="1" si="258"/>
        <v>#N/A</v>
      </c>
      <c r="AE570" s="324">
        <f t="shared" ca="1" si="237"/>
        <v>1643.0289671628439</v>
      </c>
      <c r="AG570" s="306">
        <f t="shared" ca="1" si="259"/>
        <v>-11.529572391592636</v>
      </c>
      <c r="AH570" s="304">
        <f t="shared" ca="1" si="260"/>
        <v>-2.4966034792357163</v>
      </c>
    </row>
    <row r="571" spans="1:34" x14ac:dyDescent="0.25">
      <c r="A571" s="347">
        <f t="shared" ca="1" si="238"/>
        <v>0.1</v>
      </c>
      <c r="B571" s="304">
        <f t="shared" ca="1" si="239"/>
        <v>11.699999999999914</v>
      </c>
      <c r="D571" s="306">
        <f t="shared" ca="1" si="240"/>
        <v>-0.96086651552903268</v>
      </c>
      <c r="E571" s="307">
        <f t="shared" ca="1" si="241"/>
        <v>-12.05709107671322</v>
      </c>
      <c r="F571" s="304">
        <f t="shared" ca="1" si="242"/>
        <v>12.095317676391243</v>
      </c>
      <c r="G571" s="306">
        <f t="shared" ca="1" si="243"/>
        <v>44.356494277517761</v>
      </c>
      <c r="H571" s="307">
        <f t="shared" ca="1" si="244"/>
        <v>102.75149652727602</v>
      </c>
      <c r="I571" s="304">
        <f t="shared" ca="1" si="245"/>
        <v>111.91679330282065</v>
      </c>
      <c r="J571" s="306">
        <f t="shared" ca="1" si="246"/>
        <v>489.6131360852861</v>
      </c>
      <c r="K571" s="307">
        <f t="shared" ca="1" si="247"/>
        <v>1653.364402270955</v>
      </c>
      <c r="L571" s="304">
        <f t="shared" ca="1" si="232"/>
        <v>1724.3360663525139</v>
      </c>
      <c r="M571" s="306">
        <f t="shared" ca="1" si="248"/>
        <v>1.1632753179011488</v>
      </c>
      <c r="N571" s="304">
        <f t="shared" ca="1" si="249"/>
        <v>66.650766127474967</v>
      </c>
      <c r="P571" s="310">
        <f t="shared" ca="1" si="250"/>
        <v>23</v>
      </c>
      <c r="Q571" s="304">
        <f t="shared" ca="1" si="251"/>
        <v>0</v>
      </c>
      <c r="R571" s="306">
        <f t="shared" ca="1" si="252"/>
        <v>0</v>
      </c>
      <c r="S571" s="307">
        <f t="shared" ca="1" si="253"/>
        <v>12.409999999999973</v>
      </c>
      <c r="T571" s="304">
        <f t="shared" ca="1" si="233"/>
        <v>121.74209999999975</v>
      </c>
      <c r="U571" s="311">
        <f t="shared" ca="1" si="234"/>
        <v>0</v>
      </c>
      <c r="V571" s="306">
        <f t="shared" ca="1" si="235"/>
        <v>1.0379277875571611</v>
      </c>
      <c r="W571" s="304">
        <f t="shared" ca="1" si="236"/>
        <v>29.686417973908849</v>
      </c>
      <c r="Y571" s="314" t="str">
        <f t="shared" ca="1" si="254"/>
        <v/>
      </c>
      <c r="Z571" s="315" t="str">
        <f t="shared" ca="1" si="255"/>
        <v/>
      </c>
      <c r="AA571" s="316" t="str">
        <f t="shared" ca="1" si="256"/>
        <v/>
      </c>
      <c r="AC571" s="310" t="e">
        <f t="shared" ca="1" si="257"/>
        <v>#N/A</v>
      </c>
      <c r="AD571" s="323" t="e">
        <f t="shared" ca="1" si="258"/>
        <v>#N/A</v>
      </c>
      <c r="AE571" s="324">
        <f t="shared" ca="1" si="237"/>
        <v>1653.364402270955</v>
      </c>
      <c r="AG571" s="306">
        <f t="shared" ca="1" si="259"/>
        <v>-11.463874476505882</v>
      </c>
      <c r="AH571" s="304">
        <f t="shared" ca="1" si="260"/>
        <v>-2.4439072747772337</v>
      </c>
    </row>
    <row r="572" spans="1:34" x14ac:dyDescent="0.25">
      <c r="A572" s="347">
        <f t="shared" ca="1" si="238"/>
        <v>0.1</v>
      </c>
      <c r="B572" s="304">
        <f t="shared" ca="1" si="239"/>
        <v>11.799999999999914</v>
      </c>
      <c r="D572" s="306">
        <f t="shared" ca="1" si="240"/>
        <v>-0.94808652187746822</v>
      </c>
      <c r="E572" s="307">
        <f t="shared" ca="1" si="241"/>
        <v>-12.006235535449568</v>
      </c>
      <c r="F572" s="304">
        <f t="shared" ca="1" si="242"/>
        <v>12.043610745356132</v>
      </c>
      <c r="G572" s="306">
        <f t="shared" ca="1" si="243"/>
        <v>44.261685625330017</v>
      </c>
      <c r="H572" s="307">
        <f t="shared" ca="1" si="244"/>
        <v>101.55087297373106</v>
      </c>
      <c r="I572" s="304">
        <f t="shared" ca="1" si="245"/>
        <v>110.77759979401253</v>
      </c>
      <c r="J572" s="306">
        <f t="shared" ca="1" si="246"/>
        <v>494.04404508042848</v>
      </c>
      <c r="K572" s="307">
        <f t="shared" ca="1" si="247"/>
        <v>1663.5795207460053</v>
      </c>
      <c r="L572" s="304">
        <f t="shared" ca="1" si="232"/>
        <v>1735.3893915559531</v>
      </c>
      <c r="M572" s="306">
        <f t="shared" ca="1" si="248"/>
        <v>1.1597655378258649</v>
      </c>
      <c r="N572" s="304">
        <f t="shared" ca="1" si="249"/>
        <v>66.449670542142087</v>
      </c>
      <c r="P572" s="310">
        <f t="shared" ca="1" si="250"/>
        <v>23</v>
      </c>
      <c r="Q572" s="304">
        <f t="shared" ca="1" si="251"/>
        <v>0</v>
      </c>
      <c r="R572" s="306">
        <f t="shared" ca="1" si="252"/>
        <v>0</v>
      </c>
      <c r="S572" s="307">
        <f t="shared" ca="1" si="253"/>
        <v>12.409999999999973</v>
      </c>
      <c r="T572" s="304">
        <f t="shared" ca="1" si="233"/>
        <v>121.74209999999975</v>
      </c>
      <c r="U572" s="311">
        <f t="shared" ca="1" si="234"/>
        <v>0</v>
      </c>
      <c r="V572" s="306">
        <f t="shared" ca="1" si="235"/>
        <v>1.0368607397302658</v>
      </c>
      <c r="W572" s="304">
        <f t="shared" ca="1" si="236"/>
        <v>29.055240548656226</v>
      </c>
      <c r="Y572" s="314" t="str">
        <f t="shared" ca="1" si="254"/>
        <v/>
      </c>
      <c r="Z572" s="315" t="str">
        <f t="shared" ca="1" si="255"/>
        <v/>
      </c>
      <c r="AA572" s="316" t="str">
        <f t="shared" ca="1" si="256"/>
        <v/>
      </c>
      <c r="AC572" s="310" t="e">
        <f t="shared" ca="1" si="257"/>
        <v>#N/A</v>
      </c>
      <c r="AD572" s="323" t="e">
        <f t="shared" ca="1" si="258"/>
        <v>#N/A</v>
      </c>
      <c r="AE572" s="324">
        <f t="shared" ca="1" si="237"/>
        <v>1663.5795207460053</v>
      </c>
      <c r="AG572" s="306">
        <f t="shared" ca="1" si="259"/>
        <v>-11.398758181507887</v>
      </c>
      <c r="AH572" s="304">
        <f t="shared" ca="1" si="260"/>
        <v>-2.3921368230385909</v>
      </c>
    </row>
    <row r="573" spans="1:34" x14ac:dyDescent="0.25">
      <c r="A573" s="347">
        <f t="shared" ca="1" si="238"/>
        <v>0.1</v>
      </c>
      <c r="B573" s="304">
        <f t="shared" ca="1" si="239"/>
        <v>11.899999999999913</v>
      </c>
      <c r="D573" s="306">
        <f t="shared" ca="1" si="240"/>
        <v>-0.93546747434575439</v>
      </c>
      <c r="E573" s="307">
        <f t="shared" ca="1" si="241"/>
        <v>-11.95627024064302</v>
      </c>
      <c r="F573" s="304">
        <f t="shared" ca="1" si="242"/>
        <v>11.992810240425083</v>
      </c>
      <c r="G573" s="306">
        <f t="shared" ca="1" si="243"/>
        <v>44.168138877895444</v>
      </c>
      <c r="H573" s="307">
        <f t="shared" ca="1" si="244"/>
        <v>100.35524594966675</v>
      </c>
      <c r="I573" s="304">
        <f t="shared" ca="1" si="245"/>
        <v>109.64488078134411</v>
      </c>
      <c r="J573" s="306">
        <f t="shared" ca="1" si="246"/>
        <v>498.46553630558975</v>
      </c>
      <c r="K573" s="307">
        <f t="shared" ca="1" si="247"/>
        <v>1673.6748266921752</v>
      </c>
      <c r="L573" s="304">
        <f t="shared" ca="1" si="232"/>
        <v>1746.3262342378935</v>
      </c>
      <c r="M573" s="306">
        <f t="shared" ca="1" si="248"/>
        <v>1.1561906899065684</v>
      </c>
      <c r="N573" s="304">
        <f t="shared" ca="1" si="249"/>
        <v>66.244846843965277</v>
      </c>
      <c r="P573" s="310">
        <f t="shared" ca="1" si="250"/>
        <v>23</v>
      </c>
      <c r="Q573" s="304">
        <f t="shared" ca="1" si="251"/>
        <v>0</v>
      </c>
      <c r="R573" s="306">
        <f t="shared" ca="1" si="252"/>
        <v>0</v>
      </c>
      <c r="S573" s="307">
        <f t="shared" ca="1" si="253"/>
        <v>12.409999999999973</v>
      </c>
      <c r="T573" s="304">
        <f t="shared" ca="1" si="233"/>
        <v>121.74209999999975</v>
      </c>
      <c r="U573" s="311">
        <f t="shared" ca="1" si="234"/>
        <v>0</v>
      </c>
      <c r="V573" s="306">
        <f t="shared" ca="1" si="235"/>
        <v>1.0358071954486527</v>
      </c>
      <c r="W573" s="304">
        <f t="shared" ca="1" si="236"/>
        <v>28.435167159994506</v>
      </c>
      <c r="Y573" s="314" t="str">
        <f t="shared" ca="1" si="254"/>
        <v/>
      </c>
      <c r="Z573" s="315" t="str">
        <f t="shared" ca="1" si="255"/>
        <v/>
      </c>
      <c r="AA573" s="316" t="str">
        <f t="shared" ca="1" si="256"/>
        <v/>
      </c>
      <c r="AC573" s="310" t="e">
        <f t="shared" ca="1" si="257"/>
        <v>#N/A</v>
      </c>
      <c r="AD573" s="323" t="e">
        <f t="shared" ca="1" si="258"/>
        <v>#N/A</v>
      </c>
      <c r="AE573" s="324">
        <f t="shared" ca="1" si="237"/>
        <v>1673.6748266921752</v>
      </c>
      <c r="AG573" s="306">
        <f t="shared" ca="1" si="259"/>
        <v>-11.334196173631273</v>
      </c>
      <c r="AH573" s="304">
        <f t="shared" ca="1" si="260"/>
        <v>-2.3412764342188788</v>
      </c>
    </row>
    <row r="574" spans="1:34" x14ac:dyDescent="0.25">
      <c r="A574" s="347">
        <f t="shared" ca="1" si="238"/>
        <v>0.1</v>
      </c>
      <c r="B574" s="304">
        <f t="shared" ca="1" si="239"/>
        <v>11.999999999999913</v>
      </c>
      <c r="D574" s="306">
        <f t="shared" ca="1" si="240"/>
        <v>-0.9230064675652413</v>
      </c>
      <c r="E574" s="307">
        <f t="shared" ca="1" si="241"/>
        <v>-11.907180080911225</v>
      </c>
      <c r="F574" s="304">
        <f t="shared" ca="1" si="242"/>
        <v>11.942900753938146</v>
      </c>
      <c r="G574" s="306">
        <f t="shared" ca="1" si="243"/>
        <v>44.075838231138917</v>
      </c>
      <c r="H574" s="307">
        <f t="shared" ca="1" si="244"/>
        <v>99.164527941575628</v>
      </c>
      <c r="I574" s="304">
        <f t="shared" ca="1" si="245"/>
        <v>108.51858420405723</v>
      </c>
      <c r="J574" s="306">
        <f t="shared" ca="1" si="246"/>
        <v>502.87773516104147</v>
      </c>
      <c r="K574" s="307">
        <f t="shared" ca="1" si="247"/>
        <v>1683.6508153867373</v>
      </c>
      <c r="L574" s="304">
        <f t="shared" ca="1" si="232"/>
        <v>1757.147143717089</v>
      </c>
      <c r="M574" s="306">
        <f t="shared" ca="1" si="248"/>
        <v>1.1525491373005146</v>
      </c>
      <c r="N574" s="304">
        <f t="shared" ca="1" si="249"/>
        <v>66.036201248763533</v>
      </c>
      <c r="P574" s="310">
        <f t="shared" ca="1" si="250"/>
        <v>23</v>
      </c>
      <c r="Q574" s="304">
        <f t="shared" ca="1" si="251"/>
        <v>0</v>
      </c>
      <c r="R574" s="306">
        <f t="shared" ca="1" si="252"/>
        <v>0</v>
      </c>
      <c r="S574" s="307">
        <f t="shared" ca="1" si="253"/>
        <v>12.409999999999973</v>
      </c>
      <c r="T574" s="304">
        <f t="shared" ca="1" si="233"/>
        <v>121.74209999999975</v>
      </c>
      <c r="U574" s="311">
        <f t="shared" ca="1" si="234"/>
        <v>0</v>
      </c>
      <c r="V574" s="306">
        <f t="shared" ca="1" si="235"/>
        <v>1.0347670667722413</v>
      </c>
      <c r="W574" s="304">
        <f t="shared" ca="1" si="236"/>
        <v>27.826012695246018</v>
      </c>
      <c r="Y574" s="314" t="str">
        <f t="shared" ca="1" si="254"/>
        <v/>
      </c>
      <c r="Z574" s="315" t="str">
        <f t="shared" ca="1" si="255"/>
        <v/>
      </c>
      <c r="AA574" s="316" t="str">
        <f t="shared" ca="1" si="256"/>
        <v/>
      </c>
      <c r="AC574" s="310">
        <f t="shared" ca="1" si="257"/>
        <v>11.999999999999913</v>
      </c>
      <c r="AD574" s="323">
        <f t="shared" ca="1" si="258"/>
        <v>502.87773516104147</v>
      </c>
      <c r="AE574" s="324">
        <f t="shared" ca="1" si="237"/>
        <v>1683.6508153867373</v>
      </c>
      <c r="AG574" s="306">
        <f t="shared" ca="1" si="259"/>
        <v>-11.270161038304407</v>
      </c>
      <c r="AH574" s="304">
        <f t="shared" ca="1" si="260"/>
        <v>-2.2913108106361455</v>
      </c>
    </row>
    <row r="575" spans="1:34" x14ac:dyDescent="0.25">
      <c r="A575" s="347">
        <f t="shared" ca="1" si="238"/>
        <v>0.1</v>
      </c>
      <c r="B575" s="304">
        <f t="shared" ca="1" si="239"/>
        <v>12.099999999999913</v>
      </c>
      <c r="D575" s="306">
        <f t="shared" ca="1" si="240"/>
        <v>-0.91070067568642121</v>
      </c>
      <c r="E575" s="307">
        <f t="shared" ca="1" si="241"/>
        <v>-11.858950314385986</v>
      </c>
      <c r="F575" s="304">
        <f t="shared" ca="1" si="242"/>
        <v>11.893867255008825</v>
      </c>
      <c r="G575" s="306">
        <f t="shared" ca="1" si="243"/>
        <v>43.984768163570273</v>
      </c>
      <c r="H575" s="307">
        <f t="shared" ca="1" si="244"/>
        <v>97.978632910137023</v>
      </c>
      <c r="I575" s="304">
        <f t="shared" ca="1" si="245"/>
        <v>107.39866078002282</v>
      </c>
      <c r="J575" s="306">
        <f t="shared" ca="1" si="246"/>
        <v>507.28076548077695</v>
      </c>
      <c r="K575" s="307">
        <f t="shared" ca="1" si="247"/>
        <v>1693.5079734293229</v>
      </c>
      <c r="L575" s="304">
        <f t="shared" ca="1" si="232"/>
        <v>1767.8526610256451</v>
      </c>
      <c r="M575" s="306">
        <f t="shared" ca="1" si="248"/>
        <v>1.1488391912084519</v>
      </c>
      <c r="N575" s="304">
        <f t="shared" ca="1" si="249"/>
        <v>65.823636995467282</v>
      </c>
      <c r="P575" s="310">
        <f t="shared" ca="1" si="250"/>
        <v>23</v>
      </c>
      <c r="Q575" s="304">
        <f t="shared" ca="1" si="251"/>
        <v>0</v>
      </c>
      <c r="R575" s="306">
        <f t="shared" ca="1" si="252"/>
        <v>0</v>
      </c>
      <c r="S575" s="307">
        <f t="shared" ca="1" si="253"/>
        <v>12.409999999999973</v>
      </c>
      <c r="T575" s="304">
        <f t="shared" ca="1" si="233"/>
        <v>121.74209999999975</v>
      </c>
      <c r="U575" s="311">
        <f t="shared" ca="1" si="234"/>
        <v>0</v>
      </c>
      <c r="V575" s="306">
        <f t="shared" ca="1" si="235"/>
        <v>1.0337402673655298</v>
      </c>
      <c r="W575" s="304">
        <f t="shared" ca="1" si="236"/>
        <v>27.227596643172717</v>
      </c>
      <c r="Y575" s="314" t="str">
        <f t="shared" ca="1" si="254"/>
        <v/>
      </c>
      <c r="Z575" s="315" t="str">
        <f t="shared" ca="1" si="255"/>
        <v/>
      </c>
      <c r="AA575" s="316" t="str">
        <f t="shared" ca="1" si="256"/>
        <v/>
      </c>
      <c r="AC575" s="310" t="e">
        <f t="shared" ca="1" si="257"/>
        <v>#N/A</v>
      </c>
      <c r="AD575" s="323" t="e">
        <f t="shared" ca="1" si="258"/>
        <v>#N/A</v>
      </c>
      <c r="AE575" s="324">
        <f t="shared" ca="1" si="237"/>
        <v>1693.5079734293229</v>
      </c>
      <c r="AG575" s="306">
        <f t="shared" ca="1" si="259"/>
        <v>-11.206625246606949</v>
      </c>
      <c r="AH575" s="304">
        <f t="shared" ca="1" si="260"/>
        <v>-2.242225035878008</v>
      </c>
    </row>
    <row r="576" spans="1:34" x14ac:dyDescent="0.25">
      <c r="A576" s="347">
        <f t="shared" ca="1" si="238"/>
        <v>0.1</v>
      </c>
      <c r="B576" s="304">
        <f t="shared" ca="1" si="239"/>
        <v>12.199999999999912</v>
      </c>
      <c r="D576" s="306">
        <f t="shared" ca="1" si="240"/>
        <v>-0.89854735068767688</v>
      </c>
      <c r="E576" s="307">
        <f t="shared" ca="1" si="241"/>
        <v>-11.811566558177761</v>
      </c>
      <c r="F576" s="304">
        <f t="shared" ca="1" si="242"/>
        <v>11.845695078790905</v>
      </c>
      <c r="G576" s="306">
        <f t="shared" ca="1" si="243"/>
        <v>43.894913428501503</v>
      </c>
      <c r="H576" s="307">
        <f t="shared" ca="1" si="244"/>
        <v>96.79747625431925</v>
      </c>
      <c r="I576" s="304">
        <f t="shared" ca="1" si="245"/>
        <v>106.2850640217201</v>
      </c>
      <c r="J576" s="306">
        <f t="shared" ca="1" si="246"/>
        <v>511.67474956038052</v>
      </c>
      <c r="K576" s="307">
        <f t="shared" ca="1" si="247"/>
        <v>1703.2467788875456</v>
      </c>
      <c r="L576" s="304">
        <f t="shared" ca="1" si="232"/>
        <v>1778.4433190654343</v>
      </c>
      <c r="M576" s="306">
        <f t="shared" ca="1" si="248"/>
        <v>1.145059109003514</v>
      </c>
      <c r="N576" s="304">
        <f t="shared" ca="1" si="249"/>
        <v>65.607054238911843</v>
      </c>
      <c r="P576" s="310">
        <f t="shared" ca="1" si="250"/>
        <v>23</v>
      </c>
      <c r="Q576" s="304">
        <f t="shared" ca="1" si="251"/>
        <v>0</v>
      </c>
      <c r="R576" s="306">
        <f t="shared" ca="1" si="252"/>
        <v>0</v>
      </c>
      <c r="S576" s="307">
        <f t="shared" ca="1" si="253"/>
        <v>12.409999999999973</v>
      </c>
      <c r="T576" s="304">
        <f t="shared" ca="1" si="233"/>
        <v>121.74209999999975</v>
      </c>
      <c r="U576" s="311">
        <f t="shared" ca="1" si="234"/>
        <v>0</v>
      </c>
      <c r="V576" s="306">
        <f t="shared" ca="1" si="235"/>
        <v>1.0327267124689454</v>
      </c>
      <c r="W576" s="304">
        <f t="shared" ca="1" si="236"/>
        <v>26.639742968214446</v>
      </c>
      <c r="Y576" s="314" t="str">
        <f t="shared" ca="1" si="254"/>
        <v/>
      </c>
      <c r="Z576" s="315" t="str">
        <f t="shared" ca="1" si="255"/>
        <v/>
      </c>
      <c r="AA576" s="316" t="str">
        <f t="shared" ca="1" si="256"/>
        <v/>
      </c>
      <c r="AC576" s="310" t="e">
        <f t="shared" ca="1" si="257"/>
        <v>#N/A</v>
      </c>
      <c r="AD576" s="323" t="e">
        <f t="shared" ca="1" si="258"/>
        <v>#N/A</v>
      </c>
      <c r="AE576" s="324">
        <f t="shared" ca="1" si="237"/>
        <v>1703.2467788875456</v>
      </c>
      <c r="AG576" s="306">
        <f t="shared" ca="1" si="259"/>
        <v>-11.1435611217971</v>
      </c>
      <c r="AH576" s="304">
        <f t="shared" ca="1" si="260"/>
        <v>-2.1940045643169039</v>
      </c>
    </row>
    <row r="577" spans="1:34" x14ac:dyDescent="0.25">
      <c r="A577" s="347">
        <f t="shared" ca="1" si="238"/>
        <v>0.1</v>
      </c>
      <c r="B577" s="304">
        <f t="shared" ca="1" si="239"/>
        <v>12.299999999999912</v>
      </c>
      <c r="D577" s="306">
        <f t="shared" ca="1" si="240"/>
        <v>-0.88654382076786475</v>
      </c>
      <c r="E577" s="307">
        <f t="shared" ca="1" si="241"/>
        <v>-11.76501477816949</v>
      </c>
      <c r="F577" s="304">
        <f t="shared" ca="1" si="242"/>
        <v>11.798369916081127</v>
      </c>
      <c r="G577" s="306">
        <f t="shared" ca="1" si="243"/>
        <v>43.806259046424714</v>
      </c>
      <c r="H577" s="307">
        <f t="shared" ca="1" si="244"/>
        <v>95.620974776502294</v>
      </c>
      <c r="I577" s="304">
        <f t="shared" ca="1" si="245"/>
        <v>105.17775025570263</v>
      </c>
      <c r="J577" s="306">
        <f t="shared" ca="1" si="246"/>
        <v>516.05980818412684</v>
      </c>
      <c r="K577" s="307">
        <f t="shared" ca="1" si="247"/>
        <v>1712.8677014390867</v>
      </c>
      <c r="L577" s="304">
        <f t="shared" ca="1" si="232"/>
        <v>1788.9196427610318</v>
      </c>
      <c r="M577" s="306">
        <f t="shared" ca="1" si="248"/>
        <v>1.141207092291098</v>
      </c>
      <c r="N577" s="304">
        <f t="shared" ca="1" si="249"/>
        <v>65.386349938676531</v>
      </c>
      <c r="P577" s="310">
        <f t="shared" ca="1" si="250"/>
        <v>23</v>
      </c>
      <c r="Q577" s="304">
        <f t="shared" ca="1" si="251"/>
        <v>0</v>
      </c>
      <c r="R577" s="306">
        <f t="shared" ca="1" si="252"/>
        <v>0</v>
      </c>
      <c r="S577" s="307">
        <f t="shared" ca="1" si="253"/>
        <v>12.409999999999973</v>
      </c>
      <c r="T577" s="304">
        <f t="shared" ca="1" si="233"/>
        <v>121.74209999999975</v>
      </c>
      <c r="U577" s="311">
        <f t="shared" ca="1" si="234"/>
        <v>0</v>
      </c>
      <c r="V577" s="306">
        <f t="shared" ca="1" si="235"/>
        <v>1.0317263188709236</v>
      </c>
      <c r="W577" s="304">
        <f t="shared" ca="1" si="236"/>
        <v>26.062279988917584</v>
      </c>
      <c r="Y577" s="314" t="str">
        <f t="shared" ca="1" si="254"/>
        <v/>
      </c>
      <c r="Z577" s="315" t="str">
        <f t="shared" ca="1" si="255"/>
        <v/>
      </c>
      <c r="AA577" s="316" t="str">
        <f t="shared" ca="1" si="256"/>
        <v/>
      </c>
      <c r="AC577" s="310" t="e">
        <f t="shared" ca="1" si="257"/>
        <v>#N/A</v>
      </c>
      <c r="AD577" s="323" t="e">
        <f t="shared" ca="1" si="258"/>
        <v>#N/A</v>
      </c>
      <c r="AE577" s="324">
        <f t="shared" ca="1" si="237"/>
        <v>1712.8677014390867</v>
      </c>
      <c r="AG577" s="306">
        <f t="shared" ca="1" si="259"/>
        <v>-11.080940805041767</v>
      </c>
      <c r="AH577" s="304">
        <f t="shared" ca="1" si="260"/>
        <v>-2.1466352109761888</v>
      </c>
    </row>
    <row r="578" spans="1:34" x14ac:dyDescent="0.25">
      <c r="A578" s="347">
        <f t="shared" ca="1" si="238"/>
        <v>0.1</v>
      </c>
      <c r="B578" s="304">
        <f t="shared" ca="1" si="239"/>
        <v>12.399999999999912</v>
      </c>
      <c r="D578" s="306">
        <f t="shared" ca="1" si="240"/>
        <v>-0.87468748882102432</v>
      </c>
      <c r="E578" s="307">
        <f t="shared" ca="1" si="241"/>
        <v>-11.719281279125878</v>
      </c>
      <c r="F578" s="304">
        <f t="shared" ca="1" si="242"/>
        <v>11.751877803243628</v>
      </c>
      <c r="G578" s="306">
        <f t="shared" ca="1" si="243"/>
        <v>43.718790297542611</v>
      </c>
      <c r="H578" s="307">
        <f t="shared" ca="1" si="244"/>
        <v>94.4490466485897</v>
      </c>
      <c r="I578" s="304">
        <f t="shared" ca="1" si="245"/>
        <v>104.07667864564078</v>
      </c>
      <c r="J578" s="306">
        <f t="shared" ca="1" si="246"/>
        <v>520.43606065132519</v>
      </c>
      <c r="K578" s="307">
        <f t="shared" ca="1" si="247"/>
        <v>1722.3712025103412</v>
      </c>
      <c r="L578" s="304">
        <f t="shared" ca="1" si="232"/>
        <v>1799.2821492092862</v>
      </c>
      <c r="M578" s="306">
        <f t="shared" ca="1" si="248"/>
        <v>1.1372812848977285</v>
      </c>
      <c r="N578" s="304">
        <f t="shared" ca="1" si="249"/>
        <v>65.16141774385521</v>
      </c>
      <c r="P578" s="310">
        <f t="shared" ca="1" si="250"/>
        <v>23</v>
      </c>
      <c r="Q578" s="304">
        <f t="shared" ca="1" si="251"/>
        <v>0</v>
      </c>
      <c r="R578" s="306">
        <f t="shared" ca="1" si="252"/>
        <v>0</v>
      </c>
      <c r="S578" s="307">
        <f t="shared" ca="1" si="253"/>
        <v>12.409999999999973</v>
      </c>
      <c r="T578" s="304">
        <f t="shared" ca="1" si="233"/>
        <v>121.74209999999975</v>
      </c>
      <c r="U578" s="311">
        <f t="shared" ca="1" si="234"/>
        <v>0</v>
      </c>
      <c r="V578" s="306">
        <f t="shared" ca="1" si="235"/>
        <v>1.0307390048807068</v>
      </c>
      <c r="W578" s="304">
        <f t="shared" ca="1" si="236"/>
        <v>25.495040260397317</v>
      </c>
      <c r="Y578" s="314" t="str">
        <f t="shared" ca="1" si="254"/>
        <v/>
      </c>
      <c r="Z578" s="315" t="str">
        <f t="shared" ca="1" si="255"/>
        <v/>
      </c>
      <c r="AA578" s="316" t="str">
        <f t="shared" ca="1" si="256"/>
        <v/>
      </c>
      <c r="AC578" s="310" t="e">
        <f t="shared" ca="1" si="257"/>
        <v>#N/A</v>
      </c>
      <c r="AD578" s="323" t="e">
        <f t="shared" ca="1" si="258"/>
        <v>#N/A</v>
      </c>
      <c r="AE578" s="324">
        <f t="shared" ca="1" si="237"/>
        <v>1722.3712025103412</v>
      </c>
      <c r="AG578" s="306">
        <f t="shared" ca="1" si="259"/>
        <v>-11.018736220279211</v>
      </c>
      <c r="AH578" s="304">
        <f t="shared" ca="1" si="260"/>
        <v>-2.1001031417338951</v>
      </c>
    </row>
    <row r="579" spans="1:34" x14ac:dyDescent="0.25">
      <c r="A579" s="347">
        <f t="shared" ca="1" si="238"/>
        <v>0.1</v>
      </c>
      <c r="B579" s="304">
        <f t="shared" ca="1" si="239"/>
        <v>12.499999999999911</v>
      </c>
      <c r="D579" s="306">
        <f t="shared" ca="1" si="240"/>
        <v>-0.86297583099165476</v>
      </c>
      <c r="E579" s="307">
        <f t="shared" ca="1" si="241"/>
        <v>-11.674352695104597</v>
      </c>
      <c r="F579" s="304">
        <f t="shared" ca="1" si="242"/>
        <v>11.706205112442364</v>
      </c>
      <c r="G579" s="306">
        <f t="shared" ca="1" si="243"/>
        <v>43.632492714443444</v>
      </c>
      <c r="H579" s="307">
        <f t="shared" ca="1" si="244"/>
        <v>93.281611379079237</v>
      </c>
      <c r="I579" s="304">
        <f t="shared" ca="1" si="245"/>
        <v>102.98181121903774</v>
      </c>
      <c r="J579" s="306">
        <f t="shared" ca="1" si="246"/>
        <v>524.80362480192446</v>
      </c>
      <c r="K579" s="307">
        <f t="shared" ca="1" si="247"/>
        <v>1731.7577354117245</v>
      </c>
      <c r="L579" s="304">
        <f t="shared" ca="1" si="232"/>
        <v>1809.5313478256141</v>
      </c>
      <c r="M579" s="306">
        <f t="shared" ca="1" si="248"/>
        <v>1.1332797707869504</v>
      </c>
      <c r="N579" s="304">
        <f t="shared" ca="1" si="249"/>
        <v>64.93214787364559</v>
      </c>
      <c r="P579" s="310">
        <f t="shared" ca="1" si="250"/>
        <v>23</v>
      </c>
      <c r="Q579" s="304">
        <f t="shared" ca="1" si="251"/>
        <v>0</v>
      </c>
      <c r="R579" s="306">
        <f t="shared" ca="1" si="252"/>
        <v>0</v>
      </c>
      <c r="S579" s="307">
        <f t="shared" ca="1" si="253"/>
        <v>12.409999999999973</v>
      </c>
      <c r="T579" s="304">
        <f t="shared" ca="1" si="233"/>
        <v>121.74209999999975</v>
      </c>
      <c r="U579" s="311">
        <f t="shared" ca="1" si="234"/>
        <v>0</v>
      </c>
      <c r="V579" s="306">
        <f t="shared" ca="1" si="235"/>
        <v>1.0297646903018294</v>
      </c>
      <c r="W579" s="304">
        <f t="shared" ca="1" si="236"/>
        <v>24.937860460683044</v>
      </c>
      <c r="Y579" s="314" t="str">
        <f t="shared" ca="1" si="254"/>
        <v/>
      </c>
      <c r="Z579" s="315" t="str">
        <f t="shared" ca="1" si="255"/>
        <v/>
      </c>
      <c r="AA579" s="316" t="str">
        <f t="shared" ca="1" si="256"/>
        <v/>
      </c>
      <c r="AC579" s="310" t="e">
        <f t="shared" ca="1" si="257"/>
        <v>#N/A</v>
      </c>
      <c r="AD579" s="323" t="e">
        <f t="shared" ca="1" si="258"/>
        <v>#N/A</v>
      </c>
      <c r="AE579" s="324">
        <f t="shared" ca="1" si="237"/>
        <v>1731.7577354117245</v>
      </c>
      <c r="AG579" s="306">
        <f t="shared" ca="1" si="259"/>
        <v>-10.956919038141868</v>
      </c>
      <c r="AH579" s="304">
        <f t="shared" ca="1" si="260"/>
        <v>-2.0543948638515208</v>
      </c>
    </row>
    <row r="580" spans="1:34" x14ac:dyDescent="0.25">
      <c r="A580" s="347">
        <f t="shared" ca="1" si="238"/>
        <v>0.1</v>
      </c>
      <c r="B580" s="304">
        <f t="shared" ca="1" si="239"/>
        <v>12.599999999999911</v>
      </c>
      <c r="D580" s="306">
        <f t="shared" ca="1" si="240"/>
        <v>-0.85140639530913076</v>
      </c>
      <c r="E580" s="307">
        <f t="shared" ca="1" si="241"/>
        <v>-11.630215980156432</v>
      </c>
      <c r="F580" s="304">
        <f t="shared" ca="1" si="242"/>
        <v>11.661338542168275</v>
      </c>
      <c r="G580" s="306">
        <f t="shared" ca="1" si="243"/>
        <v>43.547352074912531</v>
      </c>
      <c r="H580" s="307">
        <f t="shared" ca="1" si="244"/>
        <v>92.118589781063591</v>
      </c>
      <c r="I580" s="304">
        <f t="shared" ca="1" si="245"/>
        <v>101.89311289772367</v>
      </c>
      <c r="J580" s="306">
        <f t="shared" ca="1" si="246"/>
        <v>529.16261704139231</v>
      </c>
      <c r="K580" s="307">
        <f t="shared" ca="1" si="247"/>
        <v>1741.0277454697316</v>
      </c>
      <c r="L580" s="304">
        <f t="shared" ref="L580:L643" ca="1" si="261">SQRT(pos_x^2+pos_z^2)</f>
        <v>1819.667740487123</v>
      </c>
      <c r="M580" s="306">
        <f t="shared" ca="1" si="248"/>
        <v>1.1292005719003337</v>
      </c>
      <c r="N580" s="304">
        <f t="shared" ca="1" si="249"/>
        <v>64.698426993647985</v>
      </c>
      <c r="P580" s="310">
        <f t="shared" ca="1" si="250"/>
        <v>23</v>
      </c>
      <c r="Q580" s="304">
        <f t="shared" ca="1" si="251"/>
        <v>0</v>
      </c>
      <c r="R580" s="306">
        <f t="shared" ca="1" si="252"/>
        <v>0</v>
      </c>
      <c r="S580" s="307">
        <f t="shared" ca="1" si="253"/>
        <v>12.409999999999973</v>
      </c>
      <c r="T580" s="304">
        <f t="shared" ref="T580:T643" ca="1" si="262">m*g</f>
        <v>121.74209999999975</v>
      </c>
      <c r="U580" s="311">
        <f t="shared" ref="U580:U643" ca="1" si="263">IF(pos_xz&lt;L_rampe,Poids*COS(Beta),0)</f>
        <v>0</v>
      </c>
      <c r="V580" s="306">
        <f t="shared" ref="V580:V643" ca="1" si="264">Rho_moyen*(20000-Alt_rampe-pos_z)/(20000+Alt_rampe+pos_z)</f>
        <v>1.0288032964062765</v>
      </c>
      <c r="W580" s="304">
        <f t="shared" ref="W580:W643" ca="1" si="265">1/2*Rho*Sref*Cx*vit_xz^2</f>
        <v>24.390581280803303</v>
      </c>
      <c r="Y580" s="314" t="str">
        <f t="shared" ca="1" si="254"/>
        <v/>
      </c>
      <c r="Z580" s="315" t="str">
        <f t="shared" ca="1" si="255"/>
        <v/>
      </c>
      <c r="AA580" s="316" t="str">
        <f t="shared" ca="1" si="256"/>
        <v/>
      </c>
      <c r="AC580" s="310" t="e">
        <f t="shared" ca="1" si="257"/>
        <v>#N/A</v>
      </c>
      <c r="AD580" s="323" t="e">
        <f t="shared" ca="1" si="258"/>
        <v>#N/A</v>
      </c>
      <c r="AE580" s="324">
        <f t="shared" ref="AE580:AE643" ca="1" si="266">IF(t&lt;T_para, pos_z, NA())</f>
        <v>1741.0277454697316</v>
      </c>
      <c r="AG580" s="306">
        <f t="shared" ca="1" si="259"/>
        <v>-10.895460638865137</v>
      </c>
      <c r="AH580" s="304">
        <f t="shared" ca="1" si="260"/>
        <v>-2.009497216815721</v>
      </c>
    </row>
    <row r="581" spans="1:34" x14ac:dyDescent="0.25">
      <c r="A581" s="347">
        <f t="shared" ref="A581:A644" ca="1" si="267">IF(B580+0.01&lt;=T_ini+ROUNDUP(Temps_fin_propu,0), 0.01, IF(K580&gt;0, 0.1, 0.0001))</f>
        <v>0.1</v>
      </c>
      <c r="B581" s="304">
        <f t="shared" ref="B581:B644" ca="1" si="268">B580+pas</f>
        <v>12.69999999999991</v>
      </c>
      <c r="D581" s="306">
        <f t="shared" ref="D581:D644" ca="1" si="269">IF(AND(L580&lt;L_rampe,Poussee&lt;Poids*SIN(M580)),0,(-W580+Poussee)/m*COS(M580)-U580/m*SIN(M580))</f>
        <v>-0.83997680040000589</v>
      </c>
      <c r="E581" s="307">
        <f t="shared" ref="E581:E644" ca="1" si="270">IF(AND(L580&lt;L_rampe,Poussee&lt;Poids*SIN(M580)),0,(-W580+Poussee)/m*SIN(M580)+U580/m*COS(M580)-Poids/m)</f>
        <v>-11.586858399301741</v>
      </c>
      <c r="F581" s="304">
        <f t="shared" ref="F581:F644" ca="1" si="271">SQRT(acc_x^2+acc_z^2)</f>
        <v>11.617265108048432</v>
      </c>
      <c r="G581" s="306">
        <f t="shared" ref="G581:G644" ca="1" si="272">G580+acc_x*pas</f>
        <v>43.463354394872532</v>
      </c>
      <c r="H581" s="307">
        <f t="shared" ref="H581:H644" ca="1" si="273">H580+acc_z*pas</f>
        <v>90.959903941133419</v>
      </c>
      <c r="I581" s="304">
        <f t="shared" ref="I581:I644" ca="1" si="274">SQRT(vit_x^2+vit_z^2)</f>
        <v>100.81055153224044</v>
      </c>
      <c r="J581" s="306">
        <f t="shared" ref="J581:J644" ca="1" si="275">J580+0.5*(vit_x+G580)*pas*(K580&gt;=0)</f>
        <v>533.51315236488153</v>
      </c>
      <c r="K581" s="307">
        <f t="shared" ref="K581:K644" ca="1" si="276">K580+0.5*(vit_z+H580)*pas</f>
        <v>1750.1816701558414</v>
      </c>
      <c r="L581" s="304">
        <f t="shared" ca="1" si="261"/>
        <v>1829.6918216726565</v>
      </c>
      <c r="M581" s="306">
        <f t="shared" ref="M581:M644" ca="1" si="277">IF(AND(L580&gt;L_rampe,G581&gt;0),ATAN2(G581,H581),$M$4)</f>
        <v>1.1250416459217671</v>
      </c>
      <c r="N581" s="304">
        <f t="shared" ref="N581:N644" ca="1" si="278">DEGREES(Beta)</f>
        <v>64.460138087768797</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12.409999999999973</v>
      </c>
      <c r="T581" s="304">
        <f t="shared" ca="1" si="262"/>
        <v>121.74209999999975</v>
      </c>
      <c r="U581" s="311">
        <f t="shared" ca="1" si="263"/>
        <v>0</v>
      </c>
      <c r="V581" s="306">
        <f t="shared" ca="1" si="264"/>
        <v>1.0278547459092975</v>
      </c>
      <c r="W581" s="304">
        <f t="shared" ca="1" si="265"/>
        <v>23.853047318472132</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f t="shared" ca="1" si="266"/>
        <v>1750.1816701558414</v>
      </c>
      <c r="AG581" s="306">
        <f t="shared" ref="AG581:AG644" ca="1" si="288">IF(AND(L580&lt;L_rampe,Poussee&lt;Poids*SIN(M580)),0,(-W580+Poussee)/m-Poids*SIN(M580)/m)</f>
        <v>-10.834332074106142</v>
      </c>
      <c r="AH581" s="304">
        <f t="shared" ref="AH581:AH644" ca="1" si="289">IF(AND(L580&lt;L_rampe,Poussee&lt;Poids*SIN(M580)), g*SIN(M580), (-W580+Poussee)/m)</f>
        <v>-1.965397363481334</v>
      </c>
    </row>
    <row r="582" spans="1:34" x14ac:dyDescent="0.25">
      <c r="A582" s="347">
        <f t="shared" ca="1" si="267"/>
        <v>0.1</v>
      </c>
      <c r="B582" s="304">
        <f t="shared" ca="1" si="268"/>
        <v>12.79999999999991</v>
      </c>
      <c r="D582" s="306">
        <f t="shared" ca="1" si="269"/>
        <v>-0.82868473427704603</v>
      </c>
      <c r="E582" s="307">
        <f t="shared" ca="1" si="270"/>
        <v>-11.544267519771005</v>
      </c>
      <c r="F582" s="304">
        <f t="shared" ca="1" si="271"/>
        <v>11.573972133924618</v>
      </c>
      <c r="G582" s="306">
        <f t="shared" ca="1" si="272"/>
        <v>43.38048592144483</v>
      </c>
      <c r="H582" s="307">
        <f t="shared" ca="1" si="273"/>
        <v>89.805477189156321</v>
      </c>
      <c r="I582" s="304">
        <f t="shared" ca="1" si="274"/>
        <v>99.734097940236822</v>
      </c>
      <c r="J582" s="306">
        <f t="shared" ca="1" si="275"/>
        <v>537.85534438069737</v>
      </c>
      <c r="K582" s="307">
        <f t="shared" ca="1" si="276"/>
        <v>1759.2199392123559</v>
      </c>
      <c r="L582" s="304">
        <f t="shared" ca="1" si="261"/>
        <v>1839.6040785998503</v>
      </c>
      <c r="M582" s="306">
        <f t="shared" ca="1" si="277"/>
        <v>1.120800883963293</v>
      </c>
      <c r="N582" s="304">
        <f t="shared" ca="1" si="278"/>
        <v>64.217160325628598</v>
      </c>
      <c r="P582" s="310">
        <f t="shared" ca="1" si="279"/>
        <v>23</v>
      </c>
      <c r="Q582" s="304">
        <f t="shared" ca="1" si="280"/>
        <v>0</v>
      </c>
      <c r="R582" s="306">
        <f t="shared" ca="1" si="281"/>
        <v>0</v>
      </c>
      <c r="S582" s="307">
        <f t="shared" ca="1" si="282"/>
        <v>12.409999999999973</v>
      </c>
      <c r="T582" s="304">
        <f t="shared" ca="1" si="262"/>
        <v>121.74209999999975</v>
      </c>
      <c r="U582" s="311">
        <f t="shared" ca="1" si="263"/>
        <v>0</v>
      </c>
      <c r="V582" s="306">
        <f t="shared" ca="1" si="264"/>
        <v>1.0269189629448507</v>
      </c>
      <c r="W582" s="304">
        <f t="shared" ca="1" si="265"/>
        <v>23.325106975244516</v>
      </c>
      <c r="Y582" s="314" t="str">
        <f t="shared" ca="1" si="283"/>
        <v/>
      </c>
      <c r="Z582" s="315" t="str">
        <f t="shared" ca="1" si="284"/>
        <v/>
      </c>
      <c r="AA582" s="316" t="str">
        <f t="shared" ca="1" si="285"/>
        <v/>
      </c>
      <c r="AC582" s="310" t="e">
        <f t="shared" ca="1" si="286"/>
        <v>#N/A</v>
      </c>
      <c r="AD582" s="323" t="e">
        <f t="shared" ca="1" si="287"/>
        <v>#N/A</v>
      </c>
      <c r="AE582" s="324">
        <f t="shared" ca="1" si="266"/>
        <v>1759.2199392123559</v>
      </c>
      <c r="AG582" s="306">
        <f t="shared" ca="1" si="288"/>
        <v>-10.77350402759456</v>
      </c>
      <c r="AH582" s="304">
        <f t="shared" ca="1" si="289"/>
        <v>-1.9220827815046078</v>
      </c>
    </row>
    <row r="583" spans="1:34" x14ac:dyDescent="0.25">
      <c r="A583" s="347">
        <f t="shared" ca="1" si="267"/>
        <v>0.1</v>
      </c>
      <c r="B583" s="304">
        <f t="shared" ca="1" si="268"/>
        <v>12.89999999999991</v>
      </c>
      <c r="D583" s="306">
        <f t="shared" ca="1" si="269"/>
        <v>-0.81752795320401117</v>
      </c>
      <c r="E583" s="307">
        <f t="shared" ca="1" si="270"/>
        <v>-11.502431202497586</v>
      </c>
      <c r="F583" s="304">
        <f t="shared" ca="1" si="271"/>
        <v>11.531447243189383</v>
      </c>
      <c r="G583" s="306">
        <f t="shared" ca="1" si="272"/>
        <v>43.298733126124432</v>
      </c>
      <c r="H583" s="307">
        <f t="shared" ca="1" si="273"/>
        <v>88.655234068906566</v>
      </c>
      <c r="I583" s="304">
        <f t="shared" ca="1" si="274"/>
        <v>98.663725949002952</v>
      </c>
      <c r="J583" s="306">
        <f t="shared" ca="1" si="275"/>
        <v>542.18930533307582</v>
      </c>
      <c r="K583" s="307">
        <f t="shared" ca="1" si="276"/>
        <v>1768.1429747752591</v>
      </c>
      <c r="L583" s="304">
        <f t="shared" ca="1" si="261"/>
        <v>1849.4049913592928</v>
      </c>
      <c r="M583" s="306">
        <f t="shared" ca="1" si="277"/>
        <v>1.1164761081708778</v>
      </c>
      <c r="N583" s="304">
        <f t="shared" ca="1" si="278"/>
        <v>63.969368925382867</v>
      </c>
      <c r="P583" s="310">
        <f t="shared" ca="1" si="279"/>
        <v>23</v>
      </c>
      <c r="Q583" s="304">
        <f t="shared" ca="1" si="280"/>
        <v>0</v>
      </c>
      <c r="R583" s="306">
        <f t="shared" ca="1" si="281"/>
        <v>0</v>
      </c>
      <c r="S583" s="307">
        <f t="shared" ca="1" si="282"/>
        <v>12.409999999999973</v>
      </c>
      <c r="T583" s="304">
        <f t="shared" ca="1" si="262"/>
        <v>121.74209999999975</v>
      </c>
      <c r="U583" s="311">
        <f t="shared" ca="1" si="263"/>
        <v>0</v>
      </c>
      <c r="V583" s="306">
        <f t="shared" ca="1" si="264"/>
        <v>1.0259958730416641</v>
      </c>
      <c r="W583" s="304">
        <f t="shared" ca="1" si="265"/>
        <v>22.806612357014227</v>
      </c>
      <c r="Y583" s="314" t="str">
        <f t="shared" ca="1" si="283"/>
        <v/>
      </c>
      <c r="Z583" s="315" t="str">
        <f t="shared" ca="1" si="284"/>
        <v/>
      </c>
      <c r="AA583" s="316" t="str">
        <f t="shared" ca="1" si="285"/>
        <v/>
      </c>
      <c r="AC583" s="310" t="e">
        <f t="shared" ca="1" si="286"/>
        <v>#N/A</v>
      </c>
      <c r="AD583" s="323" t="e">
        <f t="shared" ca="1" si="287"/>
        <v>#N/A</v>
      </c>
      <c r="AE583" s="324">
        <f t="shared" ca="1" si="266"/>
        <v>1768.1429747752591</v>
      </c>
      <c r="AG583" s="306">
        <f t="shared" ca="1" si="288"/>
        <v>-10.712946774535736</v>
      </c>
      <c r="AH583" s="304">
        <f t="shared" ca="1" si="289"/>
        <v>-1.8795412550559683</v>
      </c>
    </row>
    <row r="584" spans="1:34" x14ac:dyDescent="0.25">
      <c r="A584" s="347">
        <f t="shared" ca="1" si="267"/>
        <v>0.1</v>
      </c>
      <c r="B584" s="304">
        <f t="shared" ca="1" si="268"/>
        <v>12.999999999999909</v>
      </c>
      <c r="D584" s="306">
        <f t="shared" ca="1" si="269"/>
        <v>-0.8065042806353101</v>
      </c>
      <c r="E584" s="307">
        <f t="shared" ca="1" si="270"/>
        <v>-11.461337593851177</v>
      </c>
      <c r="F584" s="304">
        <f t="shared" ca="1" si="271"/>
        <v>11.489678350367749</v>
      </c>
      <c r="G584" s="306">
        <f t="shared" ca="1" si="272"/>
        <v>43.218082698060904</v>
      </c>
      <c r="H584" s="307">
        <f t="shared" ca="1" si="273"/>
        <v>87.509100309521443</v>
      </c>
      <c r="I584" s="304">
        <f t="shared" ca="1" si="274"/>
        <v>97.599412442280197</v>
      </c>
      <c r="J584" s="306">
        <f t="shared" ca="1" si="275"/>
        <v>546.51514612428514</v>
      </c>
      <c r="K584" s="307">
        <f t="shared" ca="1" si="276"/>
        <v>1776.9511914941804</v>
      </c>
      <c r="L584" s="304">
        <f t="shared" ca="1" si="261"/>
        <v>1859.0950330458732</v>
      </c>
      <c r="M584" s="306">
        <f t="shared" ca="1" si="277"/>
        <v>1.1120650692486505</v>
      </c>
      <c r="N584" s="304">
        <f t="shared" ca="1" si="278"/>
        <v>63.716635011871304</v>
      </c>
      <c r="P584" s="310">
        <f t="shared" ca="1" si="279"/>
        <v>23</v>
      </c>
      <c r="Q584" s="304">
        <f t="shared" ca="1" si="280"/>
        <v>0</v>
      </c>
      <c r="R584" s="306">
        <f t="shared" ca="1" si="281"/>
        <v>0</v>
      </c>
      <c r="S584" s="307">
        <f t="shared" ca="1" si="282"/>
        <v>12.409999999999973</v>
      </c>
      <c r="T584" s="304">
        <f t="shared" ca="1" si="262"/>
        <v>121.74209999999975</v>
      </c>
      <c r="U584" s="311">
        <f t="shared" ca="1" si="263"/>
        <v>0</v>
      </c>
      <c r="V584" s="306">
        <f t="shared" ca="1" si="264"/>
        <v>1.0250854030998988</v>
      </c>
      <c r="W584" s="304">
        <f t="shared" ca="1" si="265"/>
        <v>22.29741917773255</v>
      </c>
      <c r="Y584" s="314" t="str">
        <f t="shared" ca="1" si="283"/>
        <v/>
      </c>
      <c r="Z584" s="315" t="str">
        <f t="shared" ca="1" si="284"/>
        <v/>
      </c>
      <c r="AA584" s="316" t="str">
        <f t="shared" ca="1" si="285"/>
        <v/>
      </c>
      <c r="AC584" s="310">
        <f t="shared" ca="1" si="286"/>
        <v>12.999999999999909</v>
      </c>
      <c r="AD584" s="323">
        <f t="shared" ca="1" si="287"/>
        <v>546.51514612428514</v>
      </c>
      <c r="AE584" s="324">
        <f t="shared" ca="1" si="266"/>
        <v>1776.9511914941804</v>
      </c>
      <c r="AG584" s="306">
        <f t="shared" ca="1" si="288"/>
        <v>-10.652630139684694</v>
      </c>
      <c r="AH584" s="304">
        <f t="shared" ca="1" si="289"/>
        <v>-1.8377608668021173</v>
      </c>
    </row>
    <row r="585" spans="1:34" x14ac:dyDescent="0.25">
      <c r="A585" s="347">
        <f t="shared" ca="1" si="267"/>
        <v>0.1</v>
      </c>
      <c r="B585" s="304">
        <f t="shared" ca="1" si="268"/>
        <v>13.099999999999909</v>
      </c>
      <c r="D585" s="306">
        <f t="shared" ca="1" si="269"/>
        <v>-0.79561160622980931</v>
      </c>
      <c r="E585" s="307">
        <f t="shared" ca="1" si="270"/>
        <v>-11.420975117600664</v>
      </c>
      <c r="F585" s="304">
        <f t="shared" ca="1" si="271"/>
        <v>11.448653652933215</v>
      </c>
      <c r="G585" s="306">
        <f t="shared" ca="1" si="272"/>
        <v>43.138521537437924</v>
      </c>
      <c r="H585" s="307">
        <f t="shared" ca="1" si="273"/>
        <v>86.367002797761373</v>
      </c>
      <c r="I585" s="304">
        <f t="shared" ca="1" si="274"/>
        <v>96.541137411491661</v>
      </c>
      <c r="J585" s="306">
        <f t="shared" ca="1" si="275"/>
        <v>550.83297633606003</v>
      </c>
      <c r="K585" s="307">
        <f t="shared" ca="1" si="276"/>
        <v>1785.6449966495445</v>
      </c>
      <c r="L585" s="304">
        <f t="shared" ca="1" si="261"/>
        <v>1868.6746698874028</v>
      </c>
      <c r="M585" s="306">
        <f t="shared" ca="1" si="277"/>
        <v>1.1075654439003384</v>
      </c>
      <c r="N585" s="304">
        <f t="shared" ca="1" si="278"/>
        <v>63.458825470022937</v>
      </c>
      <c r="P585" s="310">
        <f t="shared" ca="1" si="279"/>
        <v>23</v>
      </c>
      <c r="Q585" s="304">
        <f t="shared" ca="1" si="280"/>
        <v>0</v>
      </c>
      <c r="R585" s="306">
        <f t="shared" ca="1" si="281"/>
        <v>0</v>
      </c>
      <c r="S585" s="307">
        <f t="shared" ca="1" si="282"/>
        <v>12.409999999999973</v>
      </c>
      <c r="T585" s="304">
        <f t="shared" ca="1" si="262"/>
        <v>121.74209999999975</v>
      </c>
      <c r="U585" s="311">
        <f t="shared" ca="1" si="263"/>
        <v>0</v>
      </c>
      <c r="V585" s="306">
        <f t="shared" ca="1" si="264"/>
        <v>1.0241874813683876</v>
      </c>
      <c r="W585" s="304">
        <f t="shared" ca="1" si="265"/>
        <v>21.797386666230871</v>
      </c>
      <c r="Y585" s="314" t="str">
        <f t="shared" ca="1" si="283"/>
        <v/>
      </c>
      <c r="Z585" s="315" t="str">
        <f t="shared" ca="1" si="284"/>
        <v/>
      </c>
      <c r="AA585" s="316" t="str">
        <f t="shared" ca="1" si="285"/>
        <v/>
      </c>
      <c r="AC585" s="310" t="e">
        <f t="shared" ca="1" si="286"/>
        <v>#N/A</v>
      </c>
      <c r="AD585" s="323" t="e">
        <f t="shared" ca="1" si="287"/>
        <v>#N/A</v>
      </c>
      <c r="AE585" s="324">
        <f t="shared" ca="1" si="266"/>
        <v>1785.6449966495445</v>
      </c>
      <c r="AG585" s="306">
        <f t="shared" ca="1" si="288"/>
        <v>-10.592523454007887</v>
      </c>
      <c r="AH585" s="304">
        <f t="shared" ca="1" si="289"/>
        <v>-1.796729990147671</v>
      </c>
    </row>
    <row r="586" spans="1:34" x14ac:dyDescent="0.25">
      <c r="A586" s="347">
        <f t="shared" ca="1" si="267"/>
        <v>0.1</v>
      </c>
      <c r="B586" s="304">
        <f t="shared" ca="1" si="268"/>
        <v>13.199999999999909</v>
      </c>
      <c r="D586" s="306">
        <f t="shared" ca="1" si="269"/>
        <v>-0.78484788493817681</v>
      </c>
      <c r="E586" s="307">
        <f t="shared" ca="1" si="270"/>
        <v>-11.381332467095451</v>
      </c>
      <c r="F586" s="304">
        <f t="shared" ca="1" si="271"/>
        <v>11.40836162334684</v>
      </c>
      <c r="G586" s="306">
        <f t="shared" ca="1" si="272"/>
        <v>43.060036748944107</v>
      </c>
      <c r="H586" s="307">
        <f t="shared" ca="1" si="273"/>
        <v>85.228869551051829</v>
      </c>
      <c r="I586" s="304">
        <f t="shared" ca="1" si="274"/>
        <v>95.488884011546745</v>
      </c>
      <c r="J586" s="306">
        <f t="shared" ca="1" si="275"/>
        <v>555.14290425037916</v>
      </c>
      <c r="K586" s="307">
        <f t="shared" ca="1" si="276"/>
        <v>1794.2247902669851</v>
      </c>
      <c r="L586" s="304">
        <f t="shared" ca="1" si="261"/>
        <v>1878.1443613705928</v>
      </c>
      <c r="M586" s="306">
        <f t="shared" ca="1" si="277"/>
        <v>1.1029748321868547</v>
      </c>
      <c r="N586" s="304">
        <f t="shared" ca="1" si="278"/>
        <v>63.195802793456998</v>
      </c>
      <c r="P586" s="310">
        <f t="shared" ca="1" si="279"/>
        <v>23</v>
      </c>
      <c r="Q586" s="304">
        <f t="shared" ca="1" si="280"/>
        <v>0</v>
      </c>
      <c r="R586" s="306">
        <f t="shared" ca="1" si="281"/>
        <v>0</v>
      </c>
      <c r="S586" s="307">
        <f t="shared" ca="1" si="282"/>
        <v>12.409999999999973</v>
      </c>
      <c r="T586" s="304">
        <f t="shared" ca="1" si="262"/>
        <v>121.74209999999975</v>
      </c>
      <c r="U586" s="311">
        <f t="shared" ca="1" si="263"/>
        <v>0</v>
      </c>
      <c r="V586" s="306">
        <f t="shared" ca="1" si="264"/>
        <v>1.0233020374224442</v>
      </c>
      <c r="W586" s="304">
        <f t="shared" ca="1" si="265"/>
        <v>21.306377476035571</v>
      </c>
      <c r="Y586" s="314" t="str">
        <f t="shared" ca="1" si="283"/>
        <v/>
      </c>
      <c r="Z586" s="315" t="str">
        <f t="shared" ca="1" si="284"/>
        <v/>
      </c>
      <c r="AA586" s="316" t="str">
        <f t="shared" ca="1" si="285"/>
        <v/>
      </c>
      <c r="AC586" s="310" t="e">
        <f t="shared" ca="1" si="286"/>
        <v>#N/A</v>
      </c>
      <c r="AD586" s="323" t="e">
        <f t="shared" ca="1" si="287"/>
        <v>#N/A</v>
      </c>
      <c r="AE586" s="324">
        <f t="shared" ca="1" si="266"/>
        <v>1794.2247902669851</v>
      </c>
      <c r="AG586" s="306">
        <f t="shared" ca="1" si="288"/>
        <v>-10.532595509848077</v>
      </c>
      <c r="AH586" s="304">
        <f t="shared" ca="1" si="289"/>
        <v>-1.7564372817269072</v>
      </c>
    </row>
    <row r="587" spans="1:34" x14ac:dyDescent="0.25">
      <c r="A587" s="347">
        <f t="shared" ca="1" si="267"/>
        <v>0.1</v>
      </c>
      <c r="B587" s="304">
        <f t="shared" ca="1" si="268"/>
        <v>13.299999999999908</v>
      </c>
      <c r="D587" s="306">
        <f t="shared" ca="1" si="269"/>
        <v>-0.77421113616329418</v>
      </c>
      <c r="E587" s="307">
        <f t="shared" ca="1" si="270"/>
        <v>-11.342398597654496</v>
      </c>
      <c r="F587" s="304">
        <f t="shared" ca="1" si="271"/>
        <v>11.368791001308535</v>
      </c>
      <c r="G587" s="306">
        <f t="shared" ca="1" si="272"/>
        <v>42.982615635327775</v>
      </c>
      <c r="H587" s="307">
        <f t="shared" ca="1" si="273"/>
        <v>84.094629691286386</v>
      </c>
      <c r="I587" s="304">
        <f t="shared" ca="1" si="274"/>
        <v>94.442638621381761</v>
      </c>
      <c r="J587" s="306">
        <f t="shared" ca="1" si="275"/>
        <v>559.44503686959274</v>
      </c>
      <c r="K587" s="307">
        <f t="shared" ca="1" si="276"/>
        <v>1802.6909652291019</v>
      </c>
      <c r="L587" s="304">
        <f t="shared" ca="1" si="261"/>
        <v>1887.5045603644649</v>
      </c>
      <c r="M587" s="306">
        <f t="shared" ca="1" si="277"/>
        <v>1.0982907547992531</v>
      </c>
      <c r="N587" s="304">
        <f t="shared" ca="1" si="278"/>
        <v>62.927424928234764</v>
      </c>
      <c r="P587" s="310">
        <f t="shared" ca="1" si="279"/>
        <v>23</v>
      </c>
      <c r="Q587" s="304">
        <f t="shared" ca="1" si="280"/>
        <v>0</v>
      </c>
      <c r="R587" s="306">
        <f t="shared" ca="1" si="281"/>
        <v>0</v>
      </c>
      <c r="S587" s="307">
        <f t="shared" ca="1" si="282"/>
        <v>12.409999999999973</v>
      </c>
      <c r="T587" s="304">
        <f t="shared" ca="1" si="262"/>
        <v>121.74209999999975</v>
      </c>
      <c r="U587" s="311">
        <f t="shared" ca="1" si="263"/>
        <v>0</v>
      </c>
      <c r="V587" s="306">
        <f t="shared" ca="1" si="264"/>
        <v>1.0224290021422184</v>
      </c>
      <c r="W587" s="304">
        <f t="shared" ca="1" si="265"/>
        <v>20.82425759806743</v>
      </c>
      <c r="Y587" s="314" t="str">
        <f t="shared" ca="1" si="283"/>
        <v/>
      </c>
      <c r="Z587" s="315" t="str">
        <f t="shared" ca="1" si="284"/>
        <v/>
      </c>
      <c r="AA587" s="316" t="str">
        <f t="shared" ca="1" si="285"/>
        <v/>
      </c>
      <c r="AC587" s="310" t="e">
        <f t="shared" ca="1" si="286"/>
        <v>#N/A</v>
      </c>
      <c r="AD587" s="323" t="e">
        <f t="shared" ca="1" si="287"/>
        <v>#N/A</v>
      </c>
      <c r="AE587" s="324">
        <f t="shared" ca="1" si="266"/>
        <v>1802.6909652291019</v>
      </c>
      <c r="AG587" s="306">
        <f t="shared" ca="1" si="288"/>
        <v>-10.472814514506574</v>
      </c>
      <c r="AH587" s="304">
        <f t="shared" ca="1" si="289"/>
        <v>-1.716871674136633</v>
      </c>
    </row>
    <row r="588" spans="1:34" x14ac:dyDescent="0.25">
      <c r="A588" s="347">
        <f t="shared" ca="1" si="267"/>
        <v>0.1</v>
      </c>
      <c r="B588" s="304">
        <f t="shared" ca="1" si="268"/>
        <v>13.399999999999908</v>
      </c>
      <c r="D588" s="306">
        <f t="shared" ca="1" si="269"/>
        <v>-0.76369944299338588</v>
      </c>
      <c r="E588" s="307">
        <f t="shared" ca="1" si="270"/>
        <v>-11.304162719152554</v>
      </c>
      <c r="F588" s="304">
        <f t="shared" ca="1" si="271"/>
        <v>11.3299307862099</v>
      </c>
      <c r="G588" s="306">
        <f t="shared" ca="1" si="272"/>
        <v>42.906245691028438</v>
      </c>
      <c r="H588" s="307">
        <f t="shared" ca="1" si="273"/>
        <v>82.964213419371134</v>
      </c>
      <c r="I588" s="304">
        <f t="shared" ca="1" si="274"/>
        <v>93.402390909407984</v>
      </c>
      <c r="J588" s="306">
        <f t="shared" ca="1" si="275"/>
        <v>563.73947993591059</v>
      </c>
      <c r="K588" s="307">
        <f t="shared" ca="1" si="276"/>
        <v>1811.0439073846348</v>
      </c>
      <c r="L588" s="304">
        <f t="shared" ca="1" si="261"/>
        <v>1896.7557132412746</v>
      </c>
      <c r="M588" s="306">
        <f t="shared" ca="1" si="277"/>
        <v>1.093510650246603</v>
      </c>
      <c r="N588" s="304">
        <f t="shared" ca="1" si="278"/>
        <v>62.653545111736648</v>
      </c>
      <c r="P588" s="310">
        <f t="shared" ca="1" si="279"/>
        <v>23</v>
      </c>
      <c r="Q588" s="304">
        <f t="shared" ca="1" si="280"/>
        <v>0</v>
      </c>
      <c r="R588" s="306">
        <f t="shared" ca="1" si="281"/>
        <v>0</v>
      </c>
      <c r="S588" s="307">
        <f t="shared" ca="1" si="282"/>
        <v>12.409999999999973</v>
      </c>
      <c r="T588" s="304">
        <f t="shared" ca="1" si="262"/>
        <v>121.74209999999975</v>
      </c>
      <c r="U588" s="311">
        <f t="shared" ca="1" si="263"/>
        <v>0</v>
      </c>
      <c r="V588" s="306">
        <f t="shared" ca="1" si="264"/>
        <v>1.0215683076915871</v>
      </c>
      <c r="W588" s="304">
        <f t="shared" ca="1" si="265"/>
        <v>20.350896276122612</v>
      </c>
      <c r="Y588" s="314" t="str">
        <f t="shared" ca="1" si="283"/>
        <v/>
      </c>
      <c r="Z588" s="315" t="str">
        <f t="shared" ca="1" si="284"/>
        <v/>
      </c>
      <c r="AA588" s="316" t="str">
        <f t="shared" ca="1" si="285"/>
        <v/>
      </c>
      <c r="AC588" s="310" t="e">
        <f t="shared" ca="1" si="286"/>
        <v>#N/A</v>
      </c>
      <c r="AD588" s="323" t="e">
        <f t="shared" ca="1" si="287"/>
        <v>#N/A</v>
      </c>
      <c r="AE588" s="324">
        <f t="shared" ca="1" si="266"/>
        <v>1811.0439073846348</v>
      </c>
      <c r="AG588" s="306">
        <f t="shared" ca="1" si="288"/>
        <v>-10.413148042155891</v>
      </c>
      <c r="AH588" s="304">
        <f t="shared" ca="1" si="289"/>
        <v>-1.6780223689014886</v>
      </c>
    </row>
    <row r="589" spans="1:34" x14ac:dyDescent="0.25">
      <c r="A589" s="347">
        <f t="shared" ca="1" si="267"/>
        <v>0.1</v>
      </c>
      <c r="B589" s="304">
        <f t="shared" ca="1" si="268"/>
        <v>13.499999999999908</v>
      </c>
      <c r="D589" s="306">
        <f t="shared" ca="1" si="269"/>
        <v>-0.75331095150762795</v>
      </c>
      <c r="E589" s="307">
        <f t="shared" ca="1" si="270"/>
        <v>-11.26661428879331</v>
      </c>
      <c r="F589" s="304">
        <f t="shared" ca="1" si="271"/>
        <v>11.291770229778098</v>
      </c>
      <c r="G589" s="306">
        <f t="shared" ca="1" si="272"/>
        <v>42.830914595877672</v>
      </c>
      <c r="H589" s="307">
        <f t="shared" ca="1" si="273"/>
        <v>81.837551990491804</v>
      </c>
      <c r="I589" s="304">
        <f t="shared" ca="1" si="274"/>
        <v>92.368133904046246</v>
      </c>
      <c r="J589" s="306">
        <f t="shared" ca="1" si="275"/>
        <v>568.02633795025588</v>
      </c>
      <c r="K589" s="307">
        <f t="shared" ca="1" si="276"/>
        <v>1819.2839956551279</v>
      </c>
      <c r="L589" s="304">
        <f t="shared" ca="1" si="261"/>
        <v>1905.8982599950255</v>
      </c>
      <c r="M589" s="306">
        <f t="shared" ca="1" si="277"/>
        <v>1.0886318719587014</v>
      </c>
      <c r="N589" s="304">
        <f t="shared" ca="1" si="278"/>
        <v>62.374011706659822</v>
      </c>
      <c r="P589" s="310">
        <f t="shared" ca="1" si="279"/>
        <v>23</v>
      </c>
      <c r="Q589" s="304">
        <f t="shared" ca="1" si="280"/>
        <v>0</v>
      </c>
      <c r="R589" s="306">
        <f t="shared" ca="1" si="281"/>
        <v>0</v>
      </c>
      <c r="S589" s="307">
        <f t="shared" ca="1" si="282"/>
        <v>12.409999999999973</v>
      </c>
      <c r="T589" s="304">
        <f t="shared" ca="1" si="262"/>
        <v>121.74209999999975</v>
      </c>
      <c r="U589" s="311">
        <f t="shared" ca="1" si="263"/>
        <v>0</v>
      </c>
      <c r="V589" s="306">
        <f t="shared" ca="1" si="264"/>
        <v>1.0207198874975625</v>
      </c>
      <c r="W589" s="304">
        <f t="shared" ca="1" si="265"/>
        <v>19.886165925036039</v>
      </c>
      <c r="Y589" s="314" t="str">
        <f t="shared" ca="1" si="283"/>
        <v/>
      </c>
      <c r="Z589" s="315" t="str">
        <f t="shared" ca="1" si="284"/>
        <v/>
      </c>
      <c r="AA589" s="316" t="str">
        <f t="shared" ca="1" si="285"/>
        <v/>
      </c>
      <c r="AC589" s="310" t="e">
        <f t="shared" ca="1" si="286"/>
        <v>#N/A</v>
      </c>
      <c r="AD589" s="323" t="e">
        <f t="shared" ca="1" si="287"/>
        <v>#N/A</v>
      </c>
      <c r="AE589" s="324">
        <f t="shared" ca="1" si="266"/>
        <v>1819.2839956551279</v>
      </c>
      <c r="AG589" s="306">
        <f t="shared" ca="1" si="288"/>
        <v>-10.353562983995381</v>
      </c>
      <c r="AH589" s="304">
        <f t="shared" ca="1" si="289"/>
        <v>-1.6398788296633888</v>
      </c>
    </row>
    <row r="590" spans="1:34" x14ac:dyDescent="0.25">
      <c r="A590" s="347">
        <f t="shared" ca="1" si="267"/>
        <v>0.1</v>
      </c>
      <c r="B590" s="304">
        <f t="shared" ca="1" si="268"/>
        <v>13.599999999999907</v>
      </c>
      <c r="D590" s="306">
        <f t="shared" ca="1" si="269"/>
        <v>-0.74304387015413287</v>
      </c>
      <c r="E590" s="307">
        <f t="shared" ca="1" si="270"/>
        <v>-11.229743004059216</v>
      </c>
      <c r="F590" s="304">
        <f t="shared" ca="1" si="271"/>
        <v>11.254298828900472</v>
      </c>
      <c r="G590" s="306">
        <f t="shared" ca="1" si="272"/>
        <v>42.756610208862256</v>
      </c>
      <c r="H590" s="307">
        <f t="shared" ca="1" si="273"/>
        <v>80.714577690085889</v>
      </c>
      <c r="I590" s="304">
        <f t="shared" ca="1" si="274"/>
        <v>91.339864069537001</v>
      </c>
      <c r="J590" s="306">
        <f t="shared" ca="1" si="275"/>
        <v>572.30571419049284</v>
      </c>
      <c r="K590" s="307">
        <f t="shared" ca="1" si="276"/>
        <v>1827.4116021391567</v>
      </c>
      <c r="L590" s="304">
        <f t="shared" ca="1" si="261"/>
        <v>1914.9326343576397</v>
      </c>
      <c r="M590" s="306">
        <f t="shared" ca="1" si="277"/>
        <v>1.0836516853039875</v>
      </c>
      <c r="N590" s="304">
        <f t="shared" ca="1" si="278"/>
        <v>62.088668030157336</v>
      </c>
      <c r="P590" s="310">
        <f t="shared" ca="1" si="279"/>
        <v>23</v>
      </c>
      <c r="Q590" s="304">
        <f t="shared" ca="1" si="280"/>
        <v>0</v>
      </c>
      <c r="R590" s="306">
        <f t="shared" ca="1" si="281"/>
        <v>0</v>
      </c>
      <c r="S590" s="307">
        <f t="shared" ca="1" si="282"/>
        <v>12.409999999999973</v>
      </c>
      <c r="T590" s="304">
        <f t="shared" ca="1" si="262"/>
        <v>121.74209999999975</v>
      </c>
      <c r="U590" s="311">
        <f t="shared" ca="1" si="263"/>
        <v>0</v>
      </c>
      <c r="V590" s="306">
        <f t="shared" ca="1" si="264"/>
        <v>1.0198836762302061</v>
      </c>
      <c r="W590" s="304">
        <f t="shared" ca="1" si="265"/>
        <v>19.429942051431947</v>
      </c>
      <c r="Y590" s="314" t="str">
        <f t="shared" ca="1" si="283"/>
        <v/>
      </c>
      <c r="Z590" s="315" t="str">
        <f t="shared" ca="1" si="284"/>
        <v/>
      </c>
      <c r="AA590" s="316" t="str">
        <f t="shared" ca="1" si="285"/>
        <v/>
      </c>
      <c r="AC590" s="310" t="e">
        <f t="shared" ca="1" si="286"/>
        <v>#N/A</v>
      </c>
      <c r="AD590" s="323" t="e">
        <f t="shared" ca="1" si="287"/>
        <v>#N/A</v>
      </c>
      <c r="AE590" s="324">
        <f t="shared" ca="1" si="266"/>
        <v>1827.4116021391567</v>
      </c>
      <c r="AG590" s="306">
        <f t="shared" ca="1" si="288"/>
        <v>-10.29402549656216</v>
      </c>
      <c r="AH590" s="304">
        <f t="shared" ca="1" si="289"/>
        <v>-1.6024307755871137</v>
      </c>
    </row>
    <row r="591" spans="1:34" x14ac:dyDescent="0.25">
      <c r="A591" s="347">
        <f t="shared" ca="1" si="267"/>
        <v>0.1</v>
      </c>
      <c r="B591" s="304">
        <f t="shared" ca="1" si="268"/>
        <v>13.699999999999907</v>
      </c>
      <c r="D591" s="306">
        <f t="shared" ca="1" si="269"/>
        <v>-0.73289646920031171</v>
      </c>
      <c r="E591" s="307">
        <f t="shared" ca="1" si="270"/>
        <v>-11.193538795828042</v>
      </c>
      <c r="F591" s="304">
        <f t="shared" ca="1" si="271"/>
        <v>11.217506318619739</v>
      </c>
      <c r="G591" s="306">
        <f t="shared" ca="1" si="272"/>
        <v>42.683320561942224</v>
      </c>
      <c r="H591" s="307">
        <f t="shared" ca="1" si="273"/>
        <v>79.595223810503086</v>
      </c>
      <c r="I591" s="304">
        <f t="shared" ca="1" si="274"/>
        <v>90.317581387222702</v>
      </c>
      <c r="J591" s="306">
        <f t="shared" ca="1" si="275"/>
        <v>576.57771072903302</v>
      </c>
      <c r="K591" s="307">
        <f t="shared" ca="1" si="276"/>
        <v>1835.4270922141861</v>
      </c>
      <c r="L591" s="304">
        <f t="shared" ca="1" si="261"/>
        <v>1923.859263912866</v>
      </c>
      <c r="M591" s="306">
        <f t="shared" ca="1" si="277"/>
        <v>1.0785672645235396</v>
      </c>
      <c r="N591" s="304">
        <f t="shared" ca="1" si="278"/>
        <v>61.797352178169064</v>
      </c>
      <c r="P591" s="310">
        <f t="shared" ca="1" si="279"/>
        <v>23</v>
      </c>
      <c r="Q591" s="304">
        <f t="shared" ca="1" si="280"/>
        <v>0</v>
      </c>
      <c r="R591" s="306">
        <f t="shared" ca="1" si="281"/>
        <v>0</v>
      </c>
      <c r="S591" s="307">
        <f t="shared" ca="1" si="282"/>
        <v>12.409999999999973</v>
      </c>
      <c r="T591" s="304">
        <f t="shared" ca="1" si="262"/>
        <v>121.74209999999975</v>
      </c>
      <c r="U591" s="311">
        <f t="shared" ca="1" si="263"/>
        <v>0</v>
      </c>
      <c r="V591" s="306">
        <f t="shared" ca="1" si="264"/>
        <v>1.0190596097830313</v>
      </c>
      <c r="W591" s="304">
        <f t="shared" ca="1" si="265"/>
        <v>18.982103176970273</v>
      </c>
      <c r="Y591" s="314" t="str">
        <f t="shared" ca="1" si="283"/>
        <v/>
      </c>
      <c r="Z591" s="315" t="str">
        <f t="shared" ca="1" si="284"/>
        <v/>
      </c>
      <c r="AA591" s="316" t="str">
        <f t="shared" ca="1" si="285"/>
        <v/>
      </c>
      <c r="AC591" s="310" t="e">
        <f t="shared" ca="1" si="286"/>
        <v>#N/A</v>
      </c>
      <c r="AD591" s="323" t="e">
        <f t="shared" ca="1" si="287"/>
        <v>#N/A</v>
      </c>
      <c r="AE591" s="324">
        <f t="shared" ca="1" si="266"/>
        <v>1835.4270922141861</v>
      </c>
      <c r="AG591" s="306">
        <f t="shared" ca="1" si="288"/>
        <v>-10.23450094810986</v>
      </c>
      <c r="AH591" s="304">
        <f t="shared" ca="1" si="289"/>
        <v>-1.5656681749743746</v>
      </c>
    </row>
    <row r="592" spans="1:34" x14ac:dyDescent="0.25">
      <c r="A592" s="347">
        <f t="shared" ca="1" si="267"/>
        <v>0.1</v>
      </c>
      <c r="B592" s="304">
        <f t="shared" ca="1" si="268"/>
        <v>13.799999999999907</v>
      </c>
      <c r="D592" s="306">
        <f t="shared" ca="1" si="269"/>
        <v>-0.72286708025573598</v>
      </c>
      <c r="E592" s="307">
        <f t="shared" ca="1" si="270"/>
        <v>-11.157991821646178</v>
      </c>
      <c r="F592" s="304">
        <f t="shared" ca="1" si="271"/>
        <v>11.181382665289675</v>
      </c>
      <c r="G592" s="306">
        <f t="shared" ca="1" si="272"/>
        <v>42.611033853916652</v>
      </c>
      <c r="H592" s="307">
        <f t="shared" ca="1" si="273"/>
        <v>78.479424628338464</v>
      </c>
      <c r="I592" s="304">
        <f t="shared" ca="1" si="274"/>
        <v>89.301289442508548</v>
      </c>
      <c r="J592" s="306">
        <f t="shared" ca="1" si="275"/>
        <v>580.842428449826</v>
      </c>
      <c r="K592" s="307">
        <f t="shared" ca="1" si="276"/>
        <v>1843.3308246361282</v>
      </c>
      <c r="L592" s="304">
        <f t="shared" ca="1" si="261"/>
        <v>1932.6785702079899</v>
      </c>
      <c r="M592" s="306">
        <f t="shared" ca="1" si="277"/>
        <v>1.0733756895826334</v>
      </c>
      <c r="N592" s="304">
        <f t="shared" ca="1" si="278"/>
        <v>61.499896845029255</v>
      </c>
      <c r="P592" s="310">
        <f t="shared" ca="1" si="279"/>
        <v>23</v>
      </c>
      <c r="Q592" s="304">
        <f t="shared" ca="1" si="280"/>
        <v>0</v>
      </c>
      <c r="R592" s="306">
        <f t="shared" ca="1" si="281"/>
        <v>0</v>
      </c>
      <c r="S592" s="307">
        <f t="shared" ca="1" si="282"/>
        <v>12.409999999999973</v>
      </c>
      <c r="T592" s="304">
        <f t="shared" ca="1" si="262"/>
        <v>121.74209999999975</v>
      </c>
      <c r="U592" s="311">
        <f t="shared" ca="1" si="263"/>
        <v>0</v>
      </c>
      <c r="V592" s="306">
        <f t="shared" ca="1" si="264"/>
        <v>1.0182476252538861</v>
      </c>
      <c r="W592" s="304">
        <f t="shared" ca="1" si="265"/>
        <v>18.542530764000926</v>
      </c>
      <c r="Y592" s="314" t="str">
        <f t="shared" ca="1" si="283"/>
        <v/>
      </c>
      <c r="Z592" s="315" t="str">
        <f t="shared" ca="1" si="284"/>
        <v/>
      </c>
      <c r="AA592" s="316" t="str">
        <f t="shared" ca="1" si="285"/>
        <v/>
      </c>
      <c r="AC592" s="310" t="e">
        <f t="shared" ca="1" si="286"/>
        <v>#N/A</v>
      </c>
      <c r="AD592" s="323" t="e">
        <f t="shared" ca="1" si="287"/>
        <v>#N/A</v>
      </c>
      <c r="AE592" s="324">
        <f t="shared" ca="1" si="266"/>
        <v>1843.3308246361282</v>
      </c>
      <c r="AG592" s="306">
        <f t="shared" ca="1" si="288"/>
        <v>-10.174953862968806</v>
      </c>
      <c r="AH592" s="304">
        <f t="shared" ca="1" si="289"/>
        <v>-1.5295812390789938</v>
      </c>
    </row>
    <row r="593" spans="1:34" x14ac:dyDescent="0.25">
      <c r="A593" s="347">
        <f t="shared" ca="1" si="267"/>
        <v>0.1</v>
      </c>
      <c r="B593" s="304">
        <f t="shared" ca="1" si="268"/>
        <v>13.899999999999906</v>
      </c>
      <c r="D593" s="306">
        <f t="shared" ca="1" si="269"/>
        <v>-0.71295409586772707</v>
      </c>
      <c r="E593" s="307">
        <f t="shared" ca="1" si="270"/>
        <v>-11.123092459148902</v>
      </c>
      <c r="F593" s="304">
        <f t="shared" ca="1" si="271"/>
        <v>11.145918059881373</v>
      </c>
      <c r="G593" s="306">
        <f t="shared" ca="1" si="272"/>
        <v>42.539738444329878</v>
      </c>
      <c r="H593" s="307">
        <f t="shared" ca="1" si="273"/>
        <v>77.367115382423577</v>
      </c>
      <c r="I593" s="304">
        <f t="shared" ca="1" si="274"/>
        <v>88.290995517715402</v>
      </c>
      <c r="J593" s="306">
        <f t="shared" ca="1" si="275"/>
        <v>585.09996706473828</v>
      </c>
      <c r="K593" s="307">
        <f t="shared" ca="1" si="276"/>
        <v>1851.1231516366663</v>
      </c>
      <c r="L593" s="304">
        <f t="shared" ca="1" si="261"/>
        <v>1941.3909688634133</v>
      </c>
      <c r="M593" s="306">
        <f t="shared" ca="1" si="277"/>
        <v>1.0680739429420245</v>
      </c>
      <c r="N593" s="304">
        <f t="shared" ca="1" si="278"/>
        <v>61.196129138474703</v>
      </c>
      <c r="P593" s="310">
        <f t="shared" ca="1" si="279"/>
        <v>23</v>
      </c>
      <c r="Q593" s="304">
        <f t="shared" ca="1" si="280"/>
        <v>0</v>
      </c>
      <c r="R593" s="306">
        <f t="shared" ca="1" si="281"/>
        <v>0</v>
      </c>
      <c r="S593" s="307">
        <f t="shared" ca="1" si="282"/>
        <v>12.409999999999973</v>
      </c>
      <c r="T593" s="304">
        <f t="shared" ca="1" si="262"/>
        <v>121.74209999999975</v>
      </c>
      <c r="U593" s="311">
        <f t="shared" ca="1" si="263"/>
        <v>0</v>
      </c>
      <c r="V593" s="306">
        <f t="shared" ca="1" si="264"/>
        <v>1.0174476609262924</v>
      </c>
      <c r="W593" s="304">
        <f t="shared" ca="1" si="265"/>
        <v>18.11110914354137</v>
      </c>
      <c r="Y593" s="314" t="str">
        <f t="shared" ca="1" si="283"/>
        <v/>
      </c>
      <c r="Z593" s="315" t="str">
        <f t="shared" ca="1" si="284"/>
        <v/>
      </c>
      <c r="AA593" s="316" t="str">
        <f t="shared" ca="1" si="285"/>
        <v/>
      </c>
      <c r="AC593" s="310" t="e">
        <f t="shared" ca="1" si="286"/>
        <v>#N/A</v>
      </c>
      <c r="AD593" s="323" t="e">
        <f t="shared" ca="1" si="287"/>
        <v>#N/A</v>
      </c>
      <c r="AE593" s="324">
        <f t="shared" ca="1" si="266"/>
        <v>1851.1231516366663</v>
      </c>
      <c r="AG593" s="306">
        <f t="shared" ca="1" si="288"/>
        <v>-10.115347863802914</v>
      </c>
      <c r="AH593" s="304">
        <f t="shared" ca="1" si="289"/>
        <v>-1.4941604161161133</v>
      </c>
    </row>
    <row r="594" spans="1:34" x14ac:dyDescent="0.25">
      <c r="A594" s="347">
        <f t="shared" ca="1" si="267"/>
        <v>0.1</v>
      </c>
      <c r="B594" s="304">
        <f t="shared" ca="1" si="268"/>
        <v>13.999999999999906</v>
      </c>
      <c r="D594" s="306">
        <f t="shared" ca="1" si="269"/>
        <v>-0.703155969190009</v>
      </c>
      <c r="E594" s="307">
        <f t="shared" ca="1" si="270"/>
        <v>-11.088831299617791</v>
      </c>
      <c r="F594" s="304">
        <f t="shared" ca="1" si="271"/>
        <v>11.111102911430113</v>
      </c>
      <c r="G594" s="306">
        <f t="shared" ca="1" si="272"/>
        <v>42.469422847410875</v>
      </c>
      <c r="H594" s="307">
        <f t="shared" ca="1" si="273"/>
        <v>76.258232252461795</v>
      </c>
      <c r="I594" s="304">
        <f t="shared" ca="1" si="274"/>
        <v>87.28671069104729</v>
      </c>
      <c r="J594" s="306">
        <f t="shared" ca="1" si="275"/>
        <v>589.35042512932534</v>
      </c>
      <c r="K594" s="307">
        <f t="shared" ca="1" si="276"/>
        <v>1858.8044190184105</v>
      </c>
      <c r="L594" s="304">
        <f t="shared" ca="1" si="261"/>
        <v>1949.9968696801764</v>
      </c>
      <c r="M594" s="306">
        <f t="shared" ca="1" si="277"/>
        <v>1.0626589062519192</v>
      </c>
      <c r="N594" s="304">
        <f t="shared" ca="1" si="278"/>
        <v>60.885870390223182</v>
      </c>
      <c r="P594" s="310">
        <f t="shared" ca="1" si="279"/>
        <v>23</v>
      </c>
      <c r="Q594" s="304">
        <f t="shared" ca="1" si="280"/>
        <v>0</v>
      </c>
      <c r="R594" s="306">
        <f t="shared" ca="1" si="281"/>
        <v>0</v>
      </c>
      <c r="S594" s="307">
        <f t="shared" ca="1" si="282"/>
        <v>12.409999999999973</v>
      </c>
      <c r="T594" s="304">
        <f t="shared" ca="1" si="262"/>
        <v>121.74209999999975</v>
      </c>
      <c r="U594" s="311">
        <f t="shared" ca="1" si="263"/>
        <v>0</v>
      </c>
      <c r="V594" s="306">
        <f t="shared" ca="1" si="264"/>
        <v>1.0166596562512447</v>
      </c>
      <c r="W594" s="304">
        <f t="shared" ca="1" si="265"/>
        <v>17.68772544549639</v>
      </c>
      <c r="Y594" s="314" t="str">
        <f t="shared" ca="1" si="283"/>
        <v/>
      </c>
      <c r="Z594" s="315" t="str">
        <f t="shared" ca="1" si="284"/>
        <v/>
      </c>
      <c r="AA594" s="316" t="str">
        <f t="shared" ca="1" si="285"/>
        <v/>
      </c>
      <c r="AC594" s="310">
        <f t="shared" ca="1" si="286"/>
        <v>13.999999999999906</v>
      </c>
      <c r="AD594" s="323">
        <f t="shared" ca="1" si="287"/>
        <v>589.35042512932534</v>
      </c>
      <c r="AE594" s="324">
        <f t="shared" ca="1" si="266"/>
        <v>1858.8044190184105</v>
      </c>
      <c r="AG594" s="306">
        <f t="shared" ca="1" si="288"/>
        <v>-10.055645611681117</v>
      </c>
      <c r="AH594" s="304">
        <f t="shared" ca="1" si="289"/>
        <v>-1.4593963854586147</v>
      </c>
    </row>
    <row r="595" spans="1:34" x14ac:dyDescent="0.25">
      <c r="A595" s="347">
        <f t="shared" ca="1" si="267"/>
        <v>0.1</v>
      </c>
      <c r="B595" s="304">
        <f t="shared" ca="1" si="268"/>
        <v>14.099999999999905</v>
      </c>
      <c r="D595" s="306">
        <f t="shared" ca="1" si="269"/>
        <v>-0.69347121372486287</v>
      </c>
      <c r="E595" s="307">
        <f t="shared" ca="1" si="270"/>
        <v>-11.055199141665547</v>
      </c>
      <c r="F595" s="304">
        <f t="shared" ca="1" si="271"/>
        <v>11.076927840613013</v>
      </c>
      <c r="G595" s="306">
        <f t="shared" ca="1" si="272"/>
        <v>42.400075726038388</v>
      </c>
      <c r="H595" s="307">
        <f t="shared" ca="1" si="273"/>
        <v>75.152712338295245</v>
      </c>
      <c r="I595" s="304">
        <f t="shared" ca="1" si="274"/>
        <v>86.288449941903252</v>
      </c>
      <c r="J595" s="306">
        <f t="shared" ca="1" si="275"/>
        <v>593.59390005799776</v>
      </c>
      <c r="K595" s="307">
        <f t="shared" ca="1" si="276"/>
        <v>1866.3749662479484</v>
      </c>
      <c r="L595" s="304">
        <f t="shared" ca="1" si="261"/>
        <v>1958.4966767454814</v>
      </c>
      <c r="M595" s="306">
        <f t="shared" ca="1" si="277"/>
        <v>1.0571273569724988</v>
      </c>
      <c r="N595" s="304">
        <f t="shared" ca="1" si="278"/>
        <v>60.568935962343758</v>
      </c>
      <c r="P595" s="310">
        <f t="shared" ca="1" si="279"/>
        <v>23</v>
      </c>
      <c r="Q595" s="304">
        <f t="shared" ca="1" si="280"/>
        <v>0</v>
      </c>
      <c r="R595" s="306">
        <f t="shared" ca="1" si="281"/>
        <v>0</v>
      </c>
      <c r="S595" s="307">
        <f t="shared" ca="1" si="282"/>
        <v>12.409999999999973</v>
      </c>
      <c r="T595" s="304">
        <f t="shared" ca="1" si="262"/>
        <v>121.74209999999975</v>
      </c>
      <c r="U595" s="311">
        <f t="shared" ca="1" si="263"/>
        <v>0</v>
      </c>
      <c r="V595" s="306">
        <f t="shared" ca="1" si="264"/>
        <v>1.0158835518294376</v>
      </c>
      <c r="W595" s="304">
        <f t="shared" ca="1" si="265"/>
        <v>17.272269531041708</v>
      </c>
      <c r="Y595" s="314" t="str">
        <f t="shared" ca="1" si="283"/>
        <v/>
      </c>
      <c r="Z595" s="315" t="str">
        <f t="shared" ca="1" si="284"/>
        <v/>
      </c>
      <c r="AA595" s="316" t="str">
        <f t="shared" ca="1" si="285"/>
        <v/>
      </c>
      <c r="AC595" s="310" t="e">
        <f t="shared" ca="1" si="286"/>
        <v>#N/A</v>
      </c>
      <c r="AD595" s="323" t="e">
        <f t="shared" ca="1" si="287"/>
        <v>#N/A</v>
      </c>
      <c r="AE595" s="324">
        <f t="shared" ca="1" si="266"/>
        <v>1866.3749662479484</v>
      </c>
      <c r="AG595" s="306">
        <f t="shared" ca="1" si="288"/>
        <v>-9.9958087438850605</v>
      </c>
      <c r="AH595" s="304">
        <f t="shared" ca="1" si="289"/>
        <v>-1.4252800520142166</v>
      </c>
    </row>
    <row r="596" spans="1:34" x14ac:dyDescent="0.25">
      <c r="A596" s="347">
        <f t="shared" ca="1" si="267"/>
        <v>0.1</v>
      </c>
      <c r="B596" s="304">
        <f t="shared" ca="1" si="268"/>
        <v>14.199999999999905</v>
      </c>
      <c r="D596" s="306">
        <f t="shared" ca="1" si="269"/>
        <v>-0.68389840313931793</v>
      </c>
      <c r="E596" s="307">
        <f t="shared" ca="1" si="270"/>
        <v>-11.022186985038456</v>
      </c>
      <c r="F596" s="304">
        <f t="shared" ca="1" si="271"/>
        <v>11.043383673447538</v>
      </c>
      <c r="G596" s="306">
        <f t="shared" ca="1" si="272"/>
        <v>42.331685885724454</v>
      </c>
      <c r="H596" s="307">
        <f t="shared" ca="1" si="273"/>
        <v>74.050493639791398</v>
      </c>
      <c r="I596" s="304">
        <f t="shared" ca="1" si="274"/>
        <v>85.296232262770133</v>
      </c>
      <c r="J596" s="306">
        <f t="shared" ca="1" si="275"/>
        <v>597.83048813858591</v>
      </c>
      <c r="K596" s="307">
        <f t="shared" ca="1" si="276"/>
        <v>1873.8351265468527</v>
      </c>
      <c r="L596" s="304">
        <f t="shared" ca="1" si="261"/>
        <v>1966.8907885362826</v>
      </c>
      <c r="M596" s="306">
        <f t="shared" ca="1" si="277"/>
        <v>1.0514759649259129</v>
      </c>
      <c r="N596" s="304">
        <f t="shared" ca="1" si="278"/>
        <v>60.245135049700586</v>
      </c>
      <c r="P596" s="310">
        <f t="shared" ca="1" si="279"/>
        <v>23</v>
      </c>
      <c r="Q596" s="304">
        <f t="shared" ca="1" si="280"/>
        <v>0</v>
      </c>
      <c r="R596" s="306">
        <f t="shared" ca="1" si="281"/>
        <v>0</v>
      </c>
      <c r="S596" s="307">
        <f t="shared" ca="1" si="282"/>
        <v>12.409999999999973</v>
      </c>
      <c r="T596" s="304">
        <f t="shared" ca="1" si="262"/>
        <v>121.74209999999975</v>
      </c>
      <c r="U596" s="311">
        <f t="shared" ca="1" si="263"/>
        <v>0</v>
      </c>
      <c r="V596" s="306">
        <f t="shared" ca="1" si="264"/>
        <v>1.0151192893939247</v>
      </c>
      <c r="W596" s="304">
        <f t="shared" ca="1" si="265"/>
        <v>16.86463392709625</v>
      </c>
      <c r="Y596" s="314" t="str">
        <f t="shared" ca="1" si="283"/>
        <v/>
      </c>
      <c r="Z596" s="315" t="str">
        <f t="shared" ca="1" si="284"/>
        <v/>
      </c>
      <c r="AA596" s="316" t="str">
        <f t="shared" ca="1" si="285"/>
        <v/>
      </c>
      <c r="AC596" s="310" t="e">
        <f t="shared" ca="1" si="286"/>
        <v>#N/A</v>
      </c>
      <c r="AD596" s="323" t="e">
        <f t="shared" ca="1" si="287"/>
        <v>#N/A</v>
      </c>
      <c r="AE596" s="324">
        <f t="shared" ca="1" si="266"/>
        <v>1873.8351265468527</v>
      </c>
      <c r="AG596" s="306">
        <f t="shared" ca="1" si="288"/>
        <v>-9.9357978093795634</v>
      </c>
      <c r="AH596" s="304">
        <f t="shared" ca="1" si="289"/>
        <v>-1.3918025407769334</v>
      </c>
    </row>
    <row r="597" spans="1:34" x14ac:dyDescent="0.25">
      <c r="A597" s="347">
        <f t="shared" ca="1" si="267"/>
        <v>0.1</v>
      </c>
      <c r="B597" s="304">
        <f t="shared" ca="1" si="268"/>
        <v>14.299999999999905</v>
      </c>
      <c r="D597" s="306">
        <f t="shared" ca="1" si="269"/>
        <v>-0.6744361711559973</v>
      </c>
      <c r="E597" s="307">
        <f t="shared" ca="1" si="270"/>
        <v>-10.989786024526714</v>
      </c>
      <c r="F597" s="304">
        <f t="shared" ca="1" si="271"/>
        <v>11.010461435100993</v>
      </c>
      <c r="G597" s="306">
        <f t="shared" ca="1" si="272"/>
        <v>42.264242268608854</v>
      </c>
      <c r="H597" s="307">
        <f t="shared" ca="1" si="273"/>
        <v>72.951515037338723</v>
      </c>
      <c r="I597" s="304">
        <f t="shared" ca="1" si="274"/>
        <v>84.310080777939731</v>
      </c>
      <c r="J597" s="306">
        <f t="shared" ca="1" si="275"/>
        <v>602.06028454630257</v>
      </c>
      <c r="K597" s="307">
        <f t="shared" ca="1" si="276"/>
        <v>1881.1852269807093</v>
      </c>
      <c r="L597" s="304">
        <f t="shared" ca="1" si="261"/>
        <v>1975.1795980210097</v>
      </c>
      <c r="M597" s="306">
        <f t="shared" ca="1" si="277"/>
        <v>1.0457012887858308</v>
      </c>
      <c r="N597" s="304">
        <f t="shared" ca="1" si="278"/>
        <v>59.914270478818985</v>
      </c>
      <c r="P597" s="310">
        <f t="shared" ca="1" si="279"/>
        <v>23</v>
      </c>
      <c r="Q597" s="304">
        <f t="shared" ca="1" si="280"/>
        <v>0</v>
      </c>
      <c r="R597" s="306">
        <f t="shared" ca="1" si="281"/>
        <v>0</v>
      </c>
      <c r="S597" s="307">
        <f t="shared" ca="1" si="282"/>
        <v>12.409999999999973</v>
      </c>
      <c r="T597" s="304">
        <f t="shared" ca="1" si="262"/>
        <v>121.74209999999975</v>
      </c>
      <c r="U597" s="311">
        <f t="shared" ca="1" si="263"/>
        <v>0</v>
      </c>
      <c r="V597" s="306">
        <f t="shared" ca="1" si="264"/>
        <v>1.0143668117931881</v>
      </c>
      <c r="W597" s="304">
        <f t="shared" ca="1" si="265"/>
        <v>16.464713762810629</v>
      </c>
      <c r="Y597" s="314" t="str">
        <f t="shared" ca="1" si="283"/>
        <v/>
      </c>
      <c r="Z597" s="315" t="str">
        <f t="shared" ca="1" si="284"/>
        <v/>
      </c>
      <c r="AA597" s="316" t="str">
        <f t="shared" ca="1" si="285"/>
        <v/>
      </c>
      <c r="AC597" s="310" t="e">
        <f t="shared" ca="1" si="286"/>
        <v>#N/A</v>
      </c>
      <c r="AD597" s="323" t="e">
        <f t="shared" ca="1" si="287"/>
        <v>#N/A</v>
      </c>
      <c r="AE597" s="324">
        <f t="shared" ca="1" si="266"/>
        <v>1881.1852269807093</v>
      </c>
      <c r="AG597" s="306">
        <f t="shared" ca="1" si="288"/>
        <v>-9.8755722018790326</v>
      </c>
      <c r="AH597" s="304">
        <f t="shared" ca="1" si="289"/>
        <v>-1.3589551915468401</v>
      </c>
    </row>
    <row r="598" spans="1:34" x14ac:dyDescent="0.25">
      <c r="A598" s="347">
        <f t="shared" ca="1" si="267"/>
        <v>0.1</v>
      </c>
      <c r="B598" s="304">
        <f t="shared" ca="1" si="268"/>
        <v>14.399999999999904</v>
      </c>
      <c r="D598" s="306">
        <f t="shared" ca="1" si="269"/>
        <v>-0.66508321151933192</v>
      </c>
      <c r="E598" s="307">
        <f t="shared" ca="1" si="270"/>
        <v>-10.957987643972757</v>
      </c>
      <c r="F598" s="304">
        <f t="shared" ca="1" si="271"/>
        <v>10.97815234380105</v>
      </c>
      <c r="G598" s="306">
        <f t="shared" ca="1" si="272"/>
        <v>42.197733947456918</v>
      </c>
      <c r="H598" s="307">
        <f t="shared" ca="1" si="273"/>
        <v>71.85571627294145</v>
      </c>
      <c r="I598" s="304">
        <f t="shared" ca="1" si="274"/>
        <v>83.33002286929856</v>
      </c>
      <c r="J598" s="306">
        <f t="shared" ca="1" si="275"/>
        <v>606.28338335710589</v>
      </c>
      <c r="K598" s="307">
        <f t="shared" ca="1" si="276"/>
        <v>1888.4255885462233</v>
      </c>
      <c r="L598" s="304">
        <f t="shared" ca="1" si="261"/>
        <v>1983.3634927594812</v>
      </c>
      <c r="M598" s="306">
        <f t="shared" ca="1" si="277"/>
        <v>1.0397997725120001</v>
      </c>
      <c r="N598" s="304">
        <f t="shared" ca="1" si="278"/>
        <v>59.57613850360071</v>
      </c>
      <c r="P598" s="310">
        <f t="shared" ca="1" si="279"/>
        <v>23</v>
      </c>
      <c r="Q598" s="304">
        <f t="shared" ca="1" si="280"/>
        <v>0</v>
      </c>
      <c r="R598" s="306">
        <f t="shared" ca="1" si="281"/>
        <v>0</v>
      </c>
      <c r="S598" s="307">
        <f t="shared" ca="1" si="282"/>
        <v>12.409999999999973</v>
      </c>
      <c r="T598" s="304">
        <f t="shared" ca="1" si="262"/>
        <v>121.74209999999975</v>
      </c>
      <c r="U598" s="311">
        <f t="shared" ca="1" si="263"/>
        <v>0</v>
      </c>
      <c r="V598" s="306">
        <f t="shared" ca="1" si="264"/>
        <v>1.0136260629746128</v>
      </c>
      <c r="W598" s="304">
        <f t="shared" ca="1" si="265"/>
        <v>16.072406708002045</v>
      </c>
      <c r="Y598" s="314" t="str">
        <f t="shared" ca="1" si="283"/>
        <v/>
      </c>
      <c r="Z598" s="315" t="str">
        <f t="shared" ca="1" si="284"/>
        <v/>
      </c>
      <c r="AA598" s="316" t="str">
        <f t="shared" ca="1" si="285"/>
        <v/>
      </c>
      <c r="AC598" s="310" t="e">
        <f t="shared" ca="1" si="286"/>
        <v>#N/A</v>
      </c>
      <c r="AD598" s="323" t="e">
        <f t="shared" ca="1" si="287"/>
        <v>#N/A</v>
      </c>
      <c r="AE598" s="324">
        <f t="shared" ca="1" si="266"/>
        <v>1888.4255885462233</v>
      </c>
      <c r="AG598" s="306">
        <f t="shared" ca="1" si="288"/>
        <v>-9.8150900904511005</v>
      </c>
      <c r="AH598" s="304">
        <f t="shared" ca="1" si="289"/>
        <v>-1.3267295538123016</v>
      </c>
    </row>
    <row r="599" spans="1:34" x14ac:dyDescent="0.25">
      <c r="A599" s="347">
        <f t="shared" ca="1" si="267"/>
        <v>0.1</v>
      </c>
      <c r="B599" s="304">
        <f t="shared" ca="1" si="268"/>
        <v>14.499999999999904</v>
      </c>
      <c r="D599" s="306">
        <f t="shared" ca="1" si="269"/>
        <v>-0.6558382780379195</v>
      </c>
      <c r="E599" s="307">
        <f t="shared" ca="1" si="270"/>
        <v>-10.926783410367639</v>
      </c>
      <c r="F599" s="304">
        <f t="shared" ca="1" si="271"/>
        <v>10.946447804837202</v>
      </c>
      <c r="G599" s="306">
        <f t="shared" ca="1" si="272"/>
        <v>42.132150119653126</v>
      </c>
      <c r="H599" s="307">
        <f t="shared" ca="1" si="273"/>
        <v>70.763037931904691</v>
      </c>
      <c r="I599" s="304">
        <f t="shared" ca="1" si="274"/>
        <v>82.356090309443232</v>
      </c>
      <c r="J599" s="306">
        <f t="shared" ca="1" si="275"/>
        <v>610.49987756046141</v>
      </c>
      <c r="K599" s="307">
        <f t="shared" ca="1" si="276"/>
        <v>1895.5565262564655</v>
      </c>
      <c r="L599" s="304">
        <f t="shared" ca="1" si="261"/>
        <v>1991.4428550010712</v>
      </c>
      <c r="M599" s="306">
        <f t="shared" ca="1" si="277"/>
        <v>1.0337677417387823</v>
      </c>
      <c r="N599" s="304">
        <f t="shared" ca="1" si="278"/>
        <v>59.230528598402302</v>
      </c>
      <c r="P599" s="310">
        <f t="shared" ca="1" si="279"/>
        <v>23</v>
      </c>
      <c r="Q599" s="304">
        <f t="shared" ca="1" si="280"/>
        <v>0</v>
      </c>
      <c r="R599" s="306">
        <f t="shared" ca="1" si="281"/>
        <v>0</v>
      </c>
      <c r="S599" s="307">
        <f t="shared" ca="1" si="282"/>
        <v>12.409999999999973</v>
      </c>
      <c r="T599" s="304">
        <f t="shared" ca="1" si="262"/>
        <v>121.74209999999975</v>
      </c>
      <c r="U599" s="311">
        <f t="shared" ca="1" si="263"/>
        <v>0</v>
      </c>
      <c r="V599" s="306">
        <f t="shared" ca="1" si="264"/>
        <v>1.0128969879683458</v>
      </c>
      <c r="W599" s="304">
        <f t="shared" ca="1" si="265"/>
        <v>15.687612913468344</v>
      </c>
      <c r="Y599" s="314" t="str">
        <f t="shared" ca="1" si="283"/>
        <v/>
      </c>
      <c r="Z599" s="315" t="str">
        <f t="shared" ca="1" si="284"/>
        <v/>
      </c>
      <c r="AA599" s="316" t="str">
        <f t="shared" ca="1" si="285"/>
        <v/>
      </c>
      <c r="AC599" s="310" t="e">
        <f t="shared" ca="1" si="286"/>
        <v>#N/A</v>
      </c>
      <c r="AD599" s="323" t="e">
        <f t="shared" ca="1" si="287"/>
        <v>#N/A</v>
      </c>
      <c r="AE599" s="324">
        <f t="shared" ca="1" si="266"/>
        <v>1895.5565262564655</v>
      </c>
      <c r="AG599" s="306">
        <f t="shared" ca="1" si="288"/>
        <v>-9.7543083476091841</v>
      </c>
      <c r="AH599" s="304">
        <f t="shared" ca="1" si="289"/>
        <v>-1.2951173817890476</v>
      </c>
    </row>
    <row r="600" spans="1:34" x14ac:dyDescent="0.25">
      <c r="A600" s="347">
        <f t="shared" ca="1" si="267"/>
        <v>0.1</v>
      </c>
      <c r="B600" s="304">
        <f t="shared" ca="1" si="268"/>
        <v>14.599999999999904</v>
      </c>
      <c r="D600" s="306">
        <f t="shared" ca="1" si="269"/>
        <v>-0.64670018470387391</v>
      </c>
      <c r="E600" s="307">
        <f t="shared" ca="1" si="270"/>
        <v>-10.896165068025415</v>
      </c>
      <c r="F600" s="304">
        <f t="shared" ca="1" si="271"/>
        <v>10.915339404643051</v>
      </c>
      <c r="G600" s="306">
        <f t="shared" ca="1" si="272"/>
        <v>42.067480101182738</v>
      </c>
      <c r="H600" s="307">
        <f t="shared" ca="1" si="273"/>
        <v>69.673421425102148</v>
      </c>
      <c r="I600" s="304">
        <f t="shared" ca="1" si="274"/>
        <v>81.388319402376709</v>
      </c>
      <c r="J600" s="306">
        <f t="shared" ca="1" si="275"/>
        <v>614.70985907150316</v>
      </c>
      <c r="K600" s="307">
        <f t="shared" ca="1" si="276"/>
        <v>1902.5783492243158</v>
      </c>
      <c r="L600" s="304">
        <f t="shared" ca="1" si="261"/>
        <v>1999.4180617811849</v>
      </c>
      <c r="M600" s="306">
        <f t="shared" ca="1" si="277"/>
        <v>1.0276014001283758</v>
      </c>
      <c r="N600" s="304">
        <f t="shared" ca="1" si="278"/>
        <v>58.8772232490901</v>
      </c>
      <c r="P600" s="310">
        <f t="shared" ca="1" si="279"/>
        <v>23</v>
      </c>
      <c r="Q600" s="304">
        <f t="shared" ca="1" si="280"/>
        <v>0</v>
      </c>
      <c r="R600" s="306">
        <f t="shared" ca="1" si="281"/>
        <v>0</v>
      </c>
      <c r="S600" s="307">
        <f t="shared" ca="1" si="282"/>
        <v>12.409999999999973</v>
      </c>
      <c r="T600" s="304">
        <f t="shared" ca="1" si="262"/>
        <v>121.74209999999975</v>
      </c>
      <c r="U600" s="311">
        <f t="shared" ca="1" si="263"/>
        <v>0</v>
      </c>
      <c r="V600" s="306">
        <f t="shared" ca="1" si="264"/>
        <v>1.0121795328715417</v>
      </c>
      <c r="W600" s="304">
        <f t="shared" ca="1" si="265"/>
        <v>15.310234953116453</v>
      </c>
      <c r="Y600" s="314" t="str">
        <f t="shared" ca="1" si="283"/>
        <v/>
      </c>
      <c r="Z600" s="315" t="str">
        <f t="shared" ca="1" si="284"/>
        <v/>
      </c>
      <c r="AA600" s="316" t="str">
        <f t="shared" ca="1" si="285"/>
        <v/>
      </c>
      <c r="AC600" s="310" t="e">
        <f t="shared" ca="1" si="286"/>
        <v>#N/A</v>
      </c>
      <c r="AD600" s="323" t="e">
        <f t="shared" ca="1" si="287"/>
        <v>#N/A</v>
      </c>
      <c r="AE600" s="324">
        <f t="shared" ca="1" si="266"/>
        <v>1902.5783492243158</v>
      </c>
      <c r="AG600" s="306">
        <f t="shared" ca="1" si="288"/>
        <v>-9.6931824748581263</v>
      </c>
      <c r="AH600" s="304">
        <f t="shared" ca="1" si="289"/>
        <v>-1.264110629610667</v>
      </c>
    </row>
    <row r="601" spans="1:34" x14ac:dyDescent="0.25">
      <c r="A601" s="347">
        <f t="shared" ca="1" si="267"/>
        <v>0.1</v>
      </c>
      <c r="B601" s="304">
        <f t="shared" ca="1" si="268"/>
        <v>14.699999999999903</v>
      </c>
      <c r="D601" s="306">
        <f t="shared" ca="1" si="269"/>
        <v>-0.63766780589006367</v>
      </c>
      <c r="E601" s="307">
        <f t="shared" ca="1" si="270"/>
        <v>-10.866124532825287</v>
      </c>
      <c r="F601" s="304">
        <f t="shared" ca="1" si="271"/>
        <v>10.884818904949048</v>
      </c>
      <c r="G601" s="306">
        <f t="shared" ca="1" si="272"/>
        <v>42.003713320593732</v>
      </c>
      <c r="H601" s="307">
        <f t="shared" ca="1" si="273"/>
        <v>68.586808971819622</v>
      </c>
      <c r="I601" s="304">
        <f t="shared" ca="1" si="274"/>
        <v>80.426751132042497</v>
      </c>
      <c r="J601" s="306">
        <f t="shared" ca="1" si="275"/>
        <v>618.91341874259194</v>
      </c>
      <c r="K601" s="307">
        <f t="shared" ca="1" si="276"/>
        <v>1909.491360744162</v>
      </c>
      <c r="L601" s="304">
        <f t="shared" ca="1" si="261"/>
        <v>2007.2894850161085</v>
      </c>
      <c r="M601" s="306">
        <f t="shared" ca="1" si="277"/>
        <v>1.0212968257013824</v>
      </c>
      <c r="N601" s="304">
        <f t="shared" ca="1" si="278"/>
        <v>58.515997742797275</v>
      </c>
      <c r="P601" s="310">
        <f t="shared" ca="1" si="279"/>
        <v>23</v>
      </c>
      <c r="Q601" s="304">
        <f t="shared" ca="1" si="280"/>
        <v>0</v>
      </c>
      <c r="R601" s="306">
        <f t="shared" ca="1" si="281"/>
        <v>0</v>
      </c>
      <c r="S601" s="307">
        <f t="shared" ca="1" si="282"/>
        <v>12.409999999999973</v>
      </c>
      <c r="T601" s="304">
        <f t="shared" ca="1" si="262"/>
        <v>121.74209999999975</v>
      </c>
      <c r="U601" s="311">
        <f t="shared" ca="1" si="263"/>
        <v>0</v>
      </c>
      <c r="V601" s="306">
        <f t="shared" ca="1" si="264"/>
        <v>1.0114736448329715</v>
      </c>
      <c r="W601" s="304">
        <f t="shared" ca="1" si="265"/>
        <v>14.940177767842693</v>
      </c>
      <c r="Y601" s="314" t="str">
        <f t="shared" ca="1" si="283"/>
        <v/>
      </c>
      <c r="Z601" s="315" t="str">
        <f t="shared" ca="1" si="284"/>
        <v/>
      </c>
      <c r="AA601" s="316" t="str">
        <f t="shared" ca="1" si="285"/>
        <v/>
      </c>
      <c r="AC601" s="310" t="e">
        <f t="shared" ca="1" si="286"/>
        <v>#N/A</v>
      </c>
      <c r="AD601" s="323" t="e">
        <f t="shared" ca="1" si="287"/>
        <v>#N/A</v>
      </c>
      <c r="AE601" s="324">
        <f t="shared" ca="1" si="266"/>
        <v>1909.491360744162</v>
      </c>
      <c r="AG601" s="306">
        <f t="shared" ca="1" si="288"/>
        <v>-9.6316665256726139</v>
      </c>
      <c r="AH601" s="304">
        <f t="shared" ca="1" si="289"/>
        <v>-1.2337014466653091</v>
      </c>
    </row>
    <row r="602" spans="1:34" x14ac:dyDescent="0.25">
      <c r="A602" s="347">
        <f t="shared" ca="1" si="267"/>
        <v>0.1</v>
      </c>
      <c r="B602" s="304">
        <f t="shared" ca="1" si="268"/>
        <v>14.799999999999903</v>
      </c>
      <c r="D602" s="306">
        <f t="shared" ca="1" si="269"/>
        <v>-0.62874007662617482</v>
      </c>
      <c r="E602" s="307">
        <f t="shared" ca="1" si="270"/>
        <v>-10.836653886511126</v>
      </c>
      <c r="F602" s="304">
        <f t="shared" ca="1" si="271"/>
        <v>10.854878236995226</v>
      </c>
      <c r="G602" s="306">
        <f t="shared" ca="1" si="272"/>
        <v>41.940839312931118</v>
      </c>
      <c r="H602" s="307">
        <f t="shared" ca="1" si="273"/>
        <v>67.503143583168509</v>
      </c>
      <c r="I602" s="304">
        <f t="shared" ca="1" si="274"/>
        <v>79.471431318952426</v>
      </c>
      <c r="J602" s="306">
        <f t="shared" ca="1" si="275"/>
        <v>623.11064637426819</v>
      </c>
      <c r="K602" s="307">
        <f t="shared" ca="1" si="276"/>
        <v>1916.2958583719114</v>
      </c>
      <c r="L602" s="304">
        <f t="shared" ca="1" si="261"/>
        <v>2015.0574915962818</v>
      </c>
      <c r="M602" s="306">
        <f t="shared" ca="1" si="277"/>
        <v>1.014849967159589</v>
      </c>
      <c r="N602" s="304">
        <f t="shared" ca="1" si="278"/>
        <v>58.146619957234648</v>
      </c>
      <c r="P602" s="310">
        <f t="shared" ca="1" si="279"/>
        <v>23</v>
      </c>
      <c r="Q602" s="304">
        <f t="shared" ca="1" si="280"/>
        <v>0</v>
      </c>
      <c r="R602" s="306">
        <f t="shared" ca="1" si="281"/>
        <v>0</v>
      </c>
      <c r="S602" s="307">
        <f t="shared" ca="1" si="282"/>
        <v>12.409999999999973</v>
      </c>
      <c r="T602" s="304">
        <f t="shared" ca="1" si="262"/>
        <v>121.74209999999975</v>
      </c>
      <c r="U602" s="311">
        <f t="shared" ca="1" si="263"/>
        <v>0</v>
      </c>
      <c r="V602" s="306">
        <f t="shared" ca="1" si="264"/>
        <v>1.0107792720379916</v>
      </c>
      <c r="W602" s="304">
        <f t="shared" ca="1" si="265"/>
        <v>14.577348611104624</v>
      </c>
      <c r="Y602" s="314" t="str">
        <f t="shared" ca="1" si="283"/>
        <v/>
      </c>
      <c r="Z602" s="315" t="str">
        <f t="shared" ca="1" si="284"/>
        <v/>
      </c>
      <c r="AA602" s="316" t="str">
        <f t="shared" ca="1" si="285"/>
        <v/>
      </c>
      <c r="AC602" s="310" t="e">
        <f t="shared" ca="1" si="286"/>
        <v>#N/A</v>
      </c>
      <c r="AD602" s="323" t="e">
        <f t="shared" ca="1" si="287"/>
        <v>#N/A</v>
      </c>
      <c r="AE602" s="324">
        <f t="shared" ca="1" si="266"/>
        <v>1916.2958583719114</v>
      </c>
      <c r="AG602" s="306">
        <f t="shared" ca="1" si="288"/>
        <v>-9.5697130259063989</v>
      </c>
      <c r="AH602" s="304">
        <f t="shared" ca="1" si="289"/>
        <v>-1.2038821730735476</v>
      </c>
    </row>
    <row r="603" spans="1:34" x14ac:dyDescent="0.25">
      <c r="A603" s="347">
        <f t="shared" ca="1" si="267"/>
        <v>0.1</v>
      </c>
      <c r="B603" s="304">
        <f t="shared" ca="1" si="268"/>
        <v>14.899999999999903</v>
      </c>
      <c r="D603" s="306">
        <f t="shared" ca="1" si="269"/>
        <v>-0.61991599295455824</v>
      </c>
      <c r="E603" s="307">
        <f t="shared" ca="1" si="270"/>
        <v>-10.807745371037726</v>
      </c>
      <c r="F603" s="304">
        <f t="shared" ca="1" si="271"/>
        <v>10.825509495793176</v>
      </c>
      <c r="G603" s="306">
        <f t="shared" ca="1" si="272"/>
        <v>41.878847713635665</v>
      </c>
      <c r="H603" s="307">
        <f t="shared" ca="1" si="273"/>
        <v>66.42236904606473</v>
      </c>
      <c r="I603" s="304">
        <f t="shared" ca="1" si="274"/>
        <v>78.522410785160588</v>
      </c>
      <c r="J603" s="306">
        <f t="shared" ca="1" si="275"/>
        <v>627.30163072559651</v>
      </c>
      <c r="K603" s="307">
        <f t="shared" ca="1" si="276"/>
        <v>1922.9921340033732</v>
      </c>
      <c r="L603" s="304">
        <f t="shared" ca="1" si="261"/>
        <v>2022.7224434780567</v>
      </c>
      <c r="M603" s="306">
        <f t="shared" ca="1" si="277"/>
        <v>1.008256640218306</v>
      </c>
      <c r="N603" s="304">
        <f t="shared" ca="1" si="278"/>
        <v>57.768850150549227</v>
      </c>
      <c r="P603" s="310">
        <f t="shared" ca="1" si="279"/>
        <v>23</v>
      </c>
      <c r="Q603" s="304">
        <f t="shared" ca="1" si="280"/>
        <v>0</v>
      </c>
      <c r="R603" s="306">
        <f t="shared" ca="1" si="281"/>
        <v>0</v>
      </c>
      <c r="S603" s="307">
        <f t="shared" ca="1" si="282"/>
        <v>12.409999999999973</v>
      </c>
      <c r="T603" s="304">
        <f t="shared" ca="1" si="262"/>
        <v>121.74209999999975</v>
      </c>
      <c r="U603" s="311">
        <f t="shared" ca="1" si="263"/>
        <v>0</v>
      </c>
      <c r="V603" s="306">
        <f t="shared" ca="1" si="264"/>
        <v>1.0100963636938585</v>
      </c>
      <c r="W603" s="304">
        <f t="shared" ca="1" si="265"/>
        <v>14.221656996126198</v>
      </c>
      <c r="Y603" s="314" t="str">
        <f t="shared" ca="1" si="283"/>
        <v/>
      </c>
      <c r="Z603" s="315" t="str">
        <f t="shared" ca="1" si="284"/>
        <v/>
      </c>
      <c r="AA603" s="316" t="str">
        <f t="shared" ca="1" si="285"/>
        <v/>
      </c>
      <c r="AC603" s="310" t="e">
        <f t="shared" ca="1" si="286"/>
        <v>#N/A</v>
      </c>
      <c r="AD603" s="323" t="e">
        <f t="shared" ca="1" si="287"/>
        <v>#N/A</v>
      </c>
      <c r="AE603" s="324">
        <f t="shared" ca="1" si="266"/>
        <v>1922.9921340033732</v>
      </c>
      <c r="AG603" s="306">
        <f t="shared" ca="1" si="288"/>
        <v>-9.5072728916525975</v>
      </c>
      <c r="AH603" s="304">
        <f t="shared" ca="1" si="289"/>
        <v>-1.1746453353025508</v>
      </c>
    </row>
    <row r="604" spans="1:34" x14ac:dyDescent="0.25">
      <c r="A604" s="347">
        <f t="shared" ca="1" si="267"/>
        <v>0.1</v>
      </c>
      <c r="B604" s="304">
        <f t="shared" ca="1" si="268"/>
        <v>14.999999999999902</v>
      </c>
      <c r="D604" s="306">
        <f t="shared" ca="1" si="269"/>
        <v>-0.61119461236682104</v>
      </c>
      <c r="E604" s="307">
        <f t="shared" ca="1" si="270"/>
        <v>-10.779391382952907</v>
      </c>
      <c r="F604" s="304">
        <f t="shared" ca="1" si="271"/>
        <v>10.796704934426318</v>
      </c>
      <c r="G604" s="306">
        <f t="shared" ca="1" si="272"/>
        <v>41.817728252398986</v>
      </c>
      <c r="H604" s="307">
        <f t="shared" ca="1" si="273"/>
        <v>65.344429907769438</v>
      </c>
      <c r="I604" s="304">
        <f t="shared" ca="1" si="274"/>
        <v>77.579745527830141</v>
      </c>
      <c r="J604" s="306">
        <f t="shared" ca="1" si="275"/>
        <v>631.48645952389825</v>
      </c>
      <c r="K604" s="307">
        <f t="shared" ca="1" si="276"/>
        <v>1929.580473951065</v>
      </c>
      <c r="L604" s="304">
        <f t="shared" ca="1" si="261"/>
        <v>2030.2846977739957</v>
      </c>
      <c r="M604" s="306">
        <f t="shared" ca="1" si="277"/>
        <v>1.0015125239683909</v>
      </c>
      <c r="N604" s="304">
        <f t="shared" ca="1" si="278"/>
        <v>57.382440752883497</v>
      </c>
      <c r="P604" s="310">
        <f t="shared" ca="1" si="279"/>
        <v>23</v>
      </c>
      <c r="Q604" s="304">
        <f t="shared" ca="1" si="280"/>
        <v>0</v>
      </c>
      <c r="R604" s="306">
        <f t="shared" ca="1" si="281"/>
        <v>0</v>
      </c>
      <c r="S604" s="307">
        <f t="shared" ca="1" si="282"/>
        <v>12.409999999999973</v>
      </c>
      <c r="T604" s="304">
        <f t="shared" ca="1" si="262"/>
        <v>121.74209999999975</v>
      </c>
      <c r="U604" s="311">
        <f t="shared" ca="1" si="263"/>
        <v>0</v>
      </c>
      <c r="V604" s="306">
        <f t="shared" ca="1" si="264"/>
        <v>1.0094248700153836</v>
      </c>
      <c r="W604" s="304">
        <f t="shared" ca="1" si="265"/>
        <v>13.873014644680078</v>
      </c>
      <c r="Y604" s="314" t="str">
        <f t="shared" ca="1" si="283"/>
        <v/>
      </c>
      <c r="Z604" s="315" t="str">
        <f t="shared" ca="1" si="284"/>
        <v/>
      </c>
      <c r="AA604" s="316" t="str">
        <f t="shared" ca="1" si="285"/>
        <v/>
      </c>
      <c r="AC604" s="310">
        <f t="shared" ca="1" si="286"/>
        <v>14.999999999999902</v>
      </c>
      <c r="AD604" s="323">
        <f t="shared" ca="1" si="287"/>
        <v>631.48645952389825</v>
      </c>
      <c r="AE604" s="324">
        <f t="shared" ca="1" si="266"/>
        <v>1929.580473951065</v>
      </c>
      <c r="AG604" s="306">
        <f t="shared" ca="1" si="288"/>
        <v>-9.4442953446014233</v>
      </c>
      <c r="AH604" s="304">
        <f t="shared" ca="1" si="289"/>
        <v>-1.1459836419118636</v>
      </c>
    </row>
    <row r="605" spans="1:34" x14ac:dyDescent="0.25">
      <c r="A605" s="347">
        <f t="shared" ca="1" si="267"/>
        <v>0.1</v>
      </c>
      <c r="B605" s="304">
        <f t="shared" ca="1" si="268"/>
        <v>15.099999999999902</v>
      </c>
      <c r="D605" s="306">
        <f t="shared" ca="1" si="269"/>
        <v>-0.60257505432211322</v>
      </c>
      <c r="E605" s="307">
        <f t="shared" ca="1" si="270"/>
        <v>-10.751584467804342</v>
      </c>
      <c r="F605" s="304">
        <f t="shared" ca="1" si="271"/>
        <v>10.768456958377225</v>
      </c>
      <c r="G605" s="306">
        <f t="shared" ca="1" si="272"/>
        <v>41.757470746966774</v>
      </c>
      <c r="H605" s="307">
        <f t="shared" ca="1" si="273"/>
        <v>64.269271460989003</v>
      </c>
      <c r="I605" s="304">
        <f t="shared" ca="1" si="274"/>
        <v>76.643496901629433</v>
      </c>
      <c r="J605" s="306">
        <f t="shared" ca="1" si="275"/>
        <v>635.6652194738665</v>
      </c>
      <c r="K605" s="307">
        <f t="shared" ca="1" si="276"/>
        <v>1936.0611590195028</v>
      </c>
      <c r="L605" s="304">
        <f t="shared" ca="1" si="261"/>
        <v>2037.7446068417651</v>
      </c>
      <c r="M605" s="306">
        <f t="shared" ca="1" si="277"/>
        <v>0.99461315729120192</v>
      </c>
      <c r="N605" s="304">
        <f t="shared" ca="1" si="278"/>
        <v>56.987136160967374</v>
      </c>
      <c r="P605" s="310">
        <f t="shared" ca="1" si="279"/>
        <v>23</v>
      </c>
      <c r="Q605" s="304">
        <f t="shared" ca="1" si="280"/>
        <v>0</v>
      </c>
      <c r="R605" s="306">
        <f t="shared" ca="1" si="281"/>
        <v>0</v>
      </c>
      <c r="S605" s="307">
        <f t="shared" ca="1" si="282"/>
        <v>12.409999999999973</v>
      </c>
      <c r="T605" s="304">
        <f t="shared" ca="1" si="262"/>
        <v>121.74209999999975</v>
      </c>
      <c r="U605" s="311">
        <f t="shared" ca="1" si="263"/>
        <v>0</v>
      </c>
      <c r="V605" s="306">
        <f t="shared" ca="1" si="264"/>
        <v>1.0087647422109121</v>
      </c>
      <c r="W605" s="304">
        <f t="shared" ca="1" si="265"/>
        <v>13.53133543739259</v>
      </c>
      <c r="Y605" s="314" t="str">
        <f t="shared" ca="1" si="283"/>
        <v/>
      </c>
      <c r="Z605" s="315" t="str">
        <f t="shared" ca="1" si="284"/>
        <v/>
      </c>
      <c r="AA605" s="316" t="str">
        <f t="shared" ca="1" si="285"/>
        <v/>
      </c>
      <c r="AC605" s="310" t="e">
        <f t="shared" ca="1" si="286"/>
        <v>#N/A</v>
      </c>
      <c r="AD605" s="323" t="e">
        <f t="shared" ca="1" si="287"/>
        <v>#N/A</v>
      </c>
      <c r="AE605" s="324">
        <f t="shared" ca="1" si="266"/>
        <v>1936.0611590195028</v>
      </c>
      <c r="AG605" s="306">
        <f t="shared" ca="1" si="288"/>
        <v>-9.3807278249727339</v>
      </c>
      <c r="AH605" s="304">
        <f t="shared" ca="1" si="289"/>
        <v>-1.1178899794262778</v>
      </c>
    </row>
    <row r="606" spans="1:34" x14ac:dyDescent="0.25">
      <c r="A606" s="347">
        <f t="shared" ca="1" si="267"/>
        <v>0.1</v>
      </c>
      <c r="B606" s="304">
        <f t="shared" ca="1" si="268"/>
        <v>15.199999999999902</v>
      </c>
      <c r="D606" s="306">
        <f t="shared" ca="1" si="269"/>
        <v>-0.5940565008480031</v>
      </c>
      <c r="E606" s="307">
        <f t="shared" ca="1" si="270"/>
        <v>-10.724317314559549</v>
      </c>
      <c r="F606" s="304">
        <f t="shared" ca="1" si="271"/>
        <v>10.74075811987038</v>
      </c>
      <c r="G606" s="306">
        <f t="shared" ca="1" si="272"/>
        <v>41.698065096881976</v>
      </c>
      <c r="H606" s="307">
        <f t="shared" ca="1" si="273"/>
        <v>63.196839729533046</v>
      </c>
      <c r="I606" s="304">
        <f t="shared" ca="1" si="274"/>
        <v>75.713731810181528</v>
      </c>
      <c r="J606" s="306">
        <f t="shared" ca="1" si="275"/>
        <v>639.83799626605889</v>
      </c>
      <c r="K606" s="307">
        <f t="shared" ca="1" si="276"/>
        <v>1942.4344645790288</v>
      </c>
      <c r="L606" s="304">
        <f t="shared" ca="1" si="261"/>
        <v>2045.102518371679</v>
      </c>
      <c r="M606" s="306">
        <f t="shared" ca="1" si="277"/>
        <v>0.98755393535320768</v>
      </c>
      <c r="N606" s="304">
        <f t="shared" ca="1" si="278"/>
        <v>56.582672537274142</v>
      </c>
      <c r="P606" s="310">
        <f t="shared" ca="1" si="279"/>
        <v>23</v>
      </c>
      <c r="Q606" s="304">
        <f t="shared" ca="1" si="280"/>
        <v>0</v>
      </c>
      <c r="R606" s="306">
        <f t="shared" ca="1" si="281"/>
        <v>0</v>
      </c>
      <c r="S606" s="307">
        <f t="shared" ca="1" si="282"/>
        <v>12.409999999999973</v>
      </c>
      <c r="T606" s="304">
        <f t="shared" ca="1" si="262"/>
        <v>121.74209999999975</v>
      </c>
      <c r="U606" s="311">
        <f t="shared" ca="1" si="263"/>
        <v>0</v>
      </c>
      <c r="V606" s="306">
        <f t="shared" ca="1" si="264"/>
        <v>1.0081159324686209</v>
      </c>
      <c r="W606" s="304">
        <f t="shared" ca="1" si="265"/>
        <v>13.196535365518912</v>
      </c>
      <c r="Y606" s="314" t="str">
        <f t="shared" ca="1" si="283"/>
        <v/>
      </c>
      <c r="Z606" s="315" t="str">
        <f t="shared" ca="1" si="284"/>
        <v/>
      </c>
      <c r="AA606" s="316" t="str">
        <f t="shared" ca="1" si="285"/>
        <v/>
      </c>
      <c r="AC606" s="310" t="e">
        <f t="shared" ca="1" si="286"/>
        <v>#N/A</v>
      </c>
      <c r="AD606" s="323" t="e">
        <f t="shared" ca="1" si="287"/>
        <v>#N/A</v>
      </c>
      <c r="AE606" s="324">
        <f t="shared" ca="1" si="266"/>
        <v>1942.4344645790288</v>
      </c>
      <c r="AG606" s="306">
        <f t="shared" ca="1" si="288"/>
        <v>-9.3165159021369952</v>
      </c>
      <c r="AH606" s="304">
        <f t="shared" ca="1" si="289"/>
        <v>-1.0903574083313956</v>
      </c>
    </row>
    <row r="607" spans="1:34" x14ac:dyDescent="0.25">
      <c r="A607" s="347">
        <f t="shared" ca="1" si="267"/>
        <v>0.1</v>
      </c>
      <c r="B607" s="304">
        <f t="shared" ca="1" si="268"/>
        <v>15.299999999999901</v>
      </c>
      <c r="D607" s="306">
        <f t="shared" ca="1" si="269"/>
        <v>-0.58563819722477661</v>
      </c>
      <c r="E607" s="307">
        <f t="shared" ca="1" si="270"/>
        <v>-10.697582750027276</v>
      </c>
      <c r="F607" s="304">
        <f t="shared" ca="1" si="271"/>
        <v>10.713601112218516</v>
      </c>
      <c r="G607" s="306">
        <f t="shared" ca="1" si="272"/>
        <v>41.639501277159496</v>
      </c>
      <c r="H607" s="307">
        <f t="shared" ca="1" si="273"/>
        <v>62.12708145453032</v>
      </c>
      <c r="I607" s="304">
        <f t="shared" ca="1" si="274"/>
        <v>74.790522906772168</v>
      </c>
      <c r="J607" s="306">
        <f t="shared" ca="1" si="275"/>
        <v>644.00487458476096</v>
      </c>
      <c r="K607" s="307">
        <f t="shared" ca="1" si="276"/>
        <v>1948.700660638232</v>
      </c>
      <c r="L607" s="304">
        <f t="shared" ca="1" si="261"/>
        <v>2052.3587754729474</v>
      </c>
      <c r="M607" s="306">
        <f t="shared" ca="1" si="277"/>
        <v>0.98033010621086136</v>
      </c>
      <c r="N607" s="304">
        <f t="shared" ca="1" si="278"/>
        <v>56.168777615494086</v>
      </c>
      <c r="P607" s="310">
        <f t="shared" ca="1" si="279"/>
        <v>23</v>
      </c>
      <c r="Q607" s="304">
        <f t="shared" ca="1" si="280"/>
        <v>0</v>
      </c>
      <c r="R607" s="306">
        <f t="shared" ca="1" si="281"/>
        <v>0</v>
      </c>
      <c r="S607" s="307">
        <f t="shared" ca="1" si="282"/>
        <v>12.409999999999973</v>
      </c>
      <c r="T607" s="304">
        <f t="shared" ca="1" si="262"/>
        <v>121.74209999999975</v>
      </c>
      <c r="U607" s="311">
        <f t="shared" ca="1" si="263"/>
        <v>0</v>
      </c>
      <c r="V607" s="306">
        <f t="shared" ca="1" si="264"/>
        <v>1.0074783939431229</v>
      </c>
      <c r="W607" s="304">
        <f t="shared" ca="1" si="265"/>
        <v>12.868532484137468</v>
      </c>
      <c r="Y607" s="314" t="str">
        <f t="shared" ca="1" si="283"/>
        <v/>
      </c>
      <c r="Z607" s="315" t="str">
        <f t="shared" ca="1" si="284"/>
        <v/>
      </c>
      <c r="AA607" s="316" t="str">
        <f t="shared" ca="1" si="285"/>
        <v/>
      </c>
      <c r="AC607" s="310" t="e">
        <f t="shared" ca="1" si="286"/>
        <v>#N/A</v>
      </c>
      <c r="AD607" s="323" t="e">
        <f t="shared" ca="1" si="287"/>
        <v>#N/A</v>
      </c>
      <c r="AE607" s="324">
        <f t="shared" ca="1" si="266"/>
        <v>1948.700660638232</v>
      </c>
      <c r="AG607" s="306">
        <f t="shared" ca="1" si="288"/>
        <v>-9.2516031830806558</v>
      </c>
      <c r="AH607" s="304">
        <f t="shared" ca="1" si="289"/>
        <v>-1.0633791591876665</v>
      </c>
    </row>
    <row r="608" spans="1:34" x14ac:dyDescent="0.25">
      <c r="A608" s="347">
        <f t="shared" ca="1" si="267"/>
        <v>0.1</v>
      </c>
      <c r="B608" s="304">
        <f t="shared" ca="1" si="268"/>
        <v>15.399999999999901</v>
      </c>
      <c r="D608" s="306">
        <f t="shared" ca="1" si="269"/>
        <v>-0.57731945275387786</v>
      </c>
      <c r="E608" s="307">
        <f t="shared" ca="1" si="270"/>
        <v>-10.671373733268013</v>
      </c>
      <c r="F608" s="304">
        <f t="shared" ca="1" si="271"/>
        <v>10.686978764160173</v>
      </c>
      <c r="G608" s="306">
        <f t="shared" ca="1" si="272"/>
        <v>41.581769331884111</v>
      </c>
      <c r="H608" s="307">
        <f t="shared" ca="1" si="273"/>
        <v>61.059944081203518</v>
      </c>
      <c r="I608" s="304">
        <f t="shared" ca="1" si="274"/>
        <v>73.873948804498852</v>
      </c>
      <c r="J608" s="306">
        <f t="shared" ca="1" si="275"/>
        <v>648.16593811521318</v>
      </c>
      <c r="K608" s="307">
        <f t="shared" ca="1" si="276"/>
        <v>1954.8600119150187</v>
      </c>
      <c r="L608" s="304">
        <f t="shared" ca="1" si="261"/>
        <v>2059.5137167586822</v>
      </c>
      <c r="M608" s="306">
        <f t="shared" ca="1" si="277"/>
        <v>0.97293676756067116</v>
      </c>
      <c r="N608" s="304">
        <f t="shared" ca="1" si="278"/>
        <v>55.745170514327242</v>
      </c>
      <c r="P608" s="310">
        <f t="shared" ca="1" si="279"/>
        <v>23</v>
      </c>
      <c r="Q608" s="304">
        <f t="shared" ca="1" si="280"/>
        <v>0</v>
      </c>
      <c r="R608" s="306">
        <f t="shared" ca="1" si="281"/>
        <v>0</v>
      </c>
      <c r="S608" s="307">
        <f t="shared" ca="1" si="282"/>
        <v>12.409999999999973</v>
      </c>
      <c r="T608" s="304">
        <f t="shared" ca="1" si="262"/>
        <v>121.74209999999975</v>
      </c>
      <c r="U608" s="311">
        <f t="shared" ca="1" si="263"/>
        <v>0</v>
      </c>
      <c r="V608" s="306">
        <f t="shared" ca="1" si="264"/>
        <v>1.0068520807423706</v>
      </c>
      <c r="W608" s="304">
        <f t="shared" ca="1" si="265"/>
        <v>12.547246866714405</v>
      </c>
      <c r="Y608" s="314" t="str">
        <f t="shared" ca="1" si="283"/>
        <v/>
      </c>
      <c r="Z608" s="315" t="str">
        <f t="shared" ca="1" si="284"/>
        <v/>
      </c>
      <c r="AA608" s="316" t="str">
        <f t="shared" ca="1" si="285"/>
        <v/>
      </c>
      <c r="AC608" s="310" t="e">
        <f t="shared" ca="1" si="286"/>
        <v>#N/A</v>
      </c>
      <c r="AD608" s="323" t="e">
        <f t="shared" ca="1" si="287"/>
        <v>#N/A</v>
      </c>
      <c r="AE608" s="324">
        <f t="shared" ca="1" si="266"/>
        <v>1954.8600119150187</v>
      </c>
      <c r="AG608" s="306">
        <f t="shared" ca="1" si="288"/>
        <v>-9.1859312189210893</v>
      </c>
      <c r="AH608" s="304">
        <f t="shared" ca="1" si="289"/>
        <v>-1.0369486288587828</v>
      </c>
    </row>
    <row r="609" spans="1:34" x14ac:dyDescent="0.25">
      <c r="A609" s="347">
        <f t="shared" ca="1" si="267"/>
        <v>0.1</v>
      </c>
      <c r="B609" s="304">
        <f t="shared" ca="1" si="268"/>
        <v>15.499999999999901</v>
      </c>
      <c r="D609" s="306">
        <f t="shared" ca="1" si="269"/>
        <v>-0.56909964161107318</v>
      </c>
      <c r="E609" s="307">
        <f t="shared" ca="1" si="270"/>
        <v>-10.645683349980976</v>
      </c>
      <c r="F609" s="304">
        <f t="shared" ca="1" si="271"/>
        <v>10.660884034175778</v>
      </c>
      <c r="G609" s="306">
        <f t="shared" ca="1" si="272"/>
        <v>41.524859367723003</v>
      </c>
      <c r="H609" s="307">
        <f t="shared" ca="1" si="273"/>
        <v>59.995375746205418</v>
      </c>
      <c r="I609" s="304">
        <f t="shared" ca="1" si="274"/>
        <v>72.964094296013471</v>
      </c>
      <c r="J609" s="306">
        <f t="shared" ca="1" si="275"/>
        <v>652.32126955019351</v>
      </c>
      <c r="K609" s="307">
        <f t="shared" ca="1" si="276"/>
        <v>1960.9127779063892</v>
      </c>
      <c r="L609" s="304">
        <f t="shared" ca="1" si="261"/>
        <v>2066.5676764297191</v>
      </c>
      <c r="M609" s="306">
        <f t="shared" ca="1" si="277"/>
        <v>0.96536886367419483</v>
      </c>
      <c r="N609" s="304">
        <f t="shared" ca="1" si="278"/>
        <v>55.311561561871493</v>
      </c>
      <c r="P609" s="310">
        <f t="shared" ca="1" si="279"/>
        <v>23</v>
      </c>
      <c r="Q609" s="304">
        <f t="shared" ca="1" si="280"/>
        <v>0</v>
      </c>
      <c r="R609" s="306">
        <f t="shared" ca="1" si="281"/>
        <v>0</v>
      </c>
      <c r="S609" s="307">
        <f t="shared" ca="1" si="282"/>
        <v>12.409999999999973</v>
      </c>
      <c r="T609" s="304">
        <f t="shared" ca="1" si="262"/>
        <v>121.74209999999975</v>
      </c>
      <c r="U609" s="311">
        <f t="shared" ca="1" si="263"/>
        <v>0</v>
      </c>
      <c r="V609" s="306">
        <f t="shared" ca="1" si="264"/>
        <v>1.0062369479148465</v>
      </c>
      <c r="W609" s="304">
        <f t="shared" ca="1" si="265"/>
        <v>12.232600560990186</v>
      </c>
      <c r="Y609" s="314" t="str">
        <f t="shared" ca="1" si="283"/>
        <v/>
      </c>
      <c r="Z609" s="315" t="str">
        <f t="shared" ca="1" si="284"/>
        <v/>
      </c>
      <c r="AA609" s="316" t="str">
        <f t="shared" ca="1" si="285"/>
        <v/>
      </c>
      <c r="AC609" s="310" t="e">
        <f t="shared" ca="1" si="286"/>
        <v>#N/A</v>
      </c>
      <c r="AD609" s="323" t="e">
        <f t="shared" ca="1" si="287"/>
        <v>#N/A</v>
      </c>
      <c r="AE609" s="324">
        <f t="shared" ca="1" si="266"/>
        <v>1960.9127779063892</v>
      </c>
      <c r="AG609" s="306">
        <f t="shared" ca="1" si="288"/>
        <v>-9.1194394097333031</v>
      </c>
      <c r="AH609" s="304">
        <f t="shared" ca="1" si="289"/>
        <v>-1.0110593768504779</v>
      </c>
    </row>
    <row r="610" spans="1:34" x14ac:dyDescent="0.25">
      <c r="A610" s="347">
        <f t="shared" ca="1" si="267"/>
        <v>0.1</v>
      </c>
      <c r="B610" s="304">
        <f t="shared" ca="1" si="268"/>
        <v>15.5999999999999</v>
      </c>
      <c r="D610" s="306">
        <f t="shared" ca="1" si="269"/>
        <v>-0.56097820378471663</v>
      </c>
      <c r="E610" s="307">
        <f t="shared" ca="1" si="270"/>
        <v>-10.620504806854473</v>
      </c>
      <c r="F610" s="304">
        <f t="shared" ca="1" si="271"/>
        <v>10.635310004769043</v>
      </c>
      <c r="G610" s="306">
        <f t="shared" ca="1" si="272"/>
        <v>41.468761547344535</v>
      </c>
      <c r="H610" s="307">
        <f t="shared" ca="1" si="273"/>
        <v>58.933325265519969</v>
      </c>
      <c r="I610" s="304">
        <f t="shared" ca="1" si="274"/>
        <v>72.061050582975099</v>
      </c>
      <c r="J610" s="306">
        <f t="shared" ca="1" si="275"/>
        <v>656.47095059594687</v>
      </c>
      <c r="K610" s="307">
        <f t="shared" ca="1" si="276"/>
        <v>1966.8592129569754</v>
      </c>
      <c r="L610" s="304">
        <f t="shared" ca="1" si="261"/>
        <v>2073.520984357303</v>
      </c>
      <c r="M610" s="306">
        <f t="shared" ca="1" si="277"/>
        <v>0.95762118256299211</v>
      </c>
      <c r="N610" s="304">
        <f t="shared" ca="1" si="278"/>
        <v>54.867652133186347</v>
      </c>
      <c r="P610" s="310">
        <f t="shared" ca="1" si="279"/>
        <v>23</v>
      </c>
      <c r="Q610" s="304">
        <f t="shared" ca="1" si="280"/>
        <v>0</v>
      </c>
      <c r="R610" s="306">
        <f t="shared" ca="1" si="281"/>
        <v>0</v>
      </c>
      <c r="S610" s="307">
        <f t="shared" ca="1" si="282"/>
        <v>12.409999999999973</v>
      </c>
      <c r="T610" s="304">
        <f t="shared" ca="1" si="262"/>
        <v>121.74209999999975</v>
      </c>
      <c r="U610" s="311">
        <f t="shared" ca="1" si="263"/>
        <v>0</v>
      </c>
      <c r="V610" s="306">
        <f t="shared" ca="1" si="264"/>
        <v>1.005632951437033</v>
      </c>
      <c r="W610" s="304">
        <f t="shared" ca="1" si="265"/>
        <v>11.924517546142114</v>
      </c>
      <c r="Y610" s="314" t="str">
        <f t="shared" ca="1" si="283"/>
        <v/>
      </c>
      <c r="Z610" s="315" t="str">
        <f t="shared" ca="1" si="284"/>
        <v/>
      </c>
      <c r="AA610" s="316" t="str">
        <f t="shared" ca="1" si="285"/>
        <v/>
      </c>
      <c r="AC610" s="310" t="e">
        <f t="shared" ca="1" si="286"/>
        <v>#N/A</v>
      </c>
      <c r="AD610" s="323" t="e">
        <f t="shared" ca="1" si="287"/>
        <v>#N/A</v>
      </c>
      <c r="AE610" s="324">
        <f t="shared" ca="1" si="266"/>
        <v>1966.8592129569754</v>
      </c>
      <c r="AG610" s="306">
        <f t="shared" ca="1" si="288"/>
        <v>-9.0520649080162645</v>
      </c>
      <c r="AH610" s="304">
        <f t="shared" ca="1" si="289"/>
        <v>-0.98570512175585911</v>
      </c>
    </row>
    <row r="611" spans="1:34" x14ac:dyDescent="0.25">
      <c r="A611" s="347">
        <f t="shared" ca="1" si="267"/>
        <v>0.1</v>
      </c>
      <c r="B611" s="304">
        <f t="shared" ca="1" si="268"/>
        <v>15.6999999999999</v>
      </c>
      <c r="D611" s="306">
        <f t="shared" ca="1" si="269"/>
        <v>-0.55295464609927059</v>
      </c>
      <c r="E611" s="307">
        <f t="shared" ca="1" si="270"/>
        <v>-10.595831425866047</v>
      </c>
      <c r="F611" s="304">
        <f t="shared" ca="1" si="271"/>
        <v>10.610249876700042</v>
      </c>
      <c r="G611" s="306">
        <f t="shared" ca="1" si="272"/>
        <v>41.413466082734608</v>
      </c>
      <c r="H611" s="307">
        <f t="shared" ca="1" si="273"/>
        <v>57.873742122933365</v>
      </c>
      <c r="I611" s="304">
        <f t="shared" ca="1" si="274"/>
        <v>71.164915515284648</v>
      </c>
      <c r="J611" s="306">
        <f t="shared" ca="1" si="275"/>
        <v>660.61506197745086</v>
      </c>
      <c r="K611" s="307">
        <f t="shared" ca="1" si="276"/>
        <v>1972.6995663263981</v>
      </c>
      <c r="L611" s="304">
        <f t="shared" ca="1" si="261"/>
        <v>2080.3739661646969</v>
      </c>
      <c r="M611" s="306">
        <f t="shared" ca="1" si="277"/>
        <v>0.94968835342444202</v>
      </c>
      <c r="N611" s="304">
        <f t="shared" ca="1" si="278"/>
        <v>54.413134503949031</v>
      </c>
      <c r="P611" s="310">
        <f t="shared" ca="1" si="279"/>
        <v>23</v>
      </c>
      <c r="Q611" s="304">
        <f t="shared" ca="1" si="280"/>
        <v>0</v>
      </c>
      <c r="R611" s="306">
        <f t="shared" ca="1" si="281"/>
        <v>0</v>
      </c>
      <c r="S611" s="307">
        <f t="shared" ca="1" si="282"/>
        <v>12.409999999999973</v>
      </c>
      <c r="T611" s="304">
        <f t="shared" ca="1" si="262"/>
        <v>121.74209999999975</v>
      </c>
      <c r="U611" s="311">
        <f t="shared" ca="1" si="263"/>
        <v>0</v>
      </c>
      <c r="V611" s="306">
        <f t="shared" ca="1" si="264"/>
        <v>1.0050400482011543</v>
      </c>
      <c r="W611" s="304">
        <f t="shared" ca="1" si="265"/>
        <v>11.622923691177693</v>
      </c>
      <c r="Y611" s="314" t="str">
        <f t="shared" ca="1" si="283"/>
        <v/>
      </c>
      <c r="Z611" s="315" t="str">
        <f t="shared" ca="1" si="284"/>
        <v/>
      </c>
      <c r="AA611" s="316" t="str">
        <f t="shared" ca="1" si="285"/>
        <v/>
      </c>
      <c r="AC611" s="310" t="e">
        <f t="shared" ca="1" si="286"/>
        <v>#N/A</v>
      </c>
      <c r="AD611" s="323" t="e">
        <f t="shared" ca="1" si="287"/>
        <v>#N/A</v>
      </c>
      <c r="AE611" s="324">
        <f t="shared" ca="1" si="266"/>
        <v>1972.6995663263981</v>
      </c>
      <c r="AG611" s="306">
        <f t="shared" ca="1" si="288"/>
        <v>-8.9837425212021031</v>
      </c>
      <c r="AH611" s="304">
        <f t="shared" ca="1" si="289"/>
        <v>-0.96087973780355684</v>
      </c>
    </row>
    <row r="612" spans="1:34" x14ac:dyDescent="0.25">
      <c r="A612" s="347">
        <f t="shared" ca="1" si="267"/>
        <v>0.1</v>
      </c>
      <c r="B612" s="304">
        <f t="shared" ca="1" si="268"/>
        <v>15.799999999999899</v>
      </c>
      <c r="D612" s="306">
        <f t="shared" ca="1" si="269"/>
        <v>-0.54502854332391892</v>
      </c>
      <c r="E612" s="307">
        <f t="shared" ca="1" si="270"/>
        <v>-10.571656638518283</v>
      </c>
      <c r="F612" s="304">
        <f t="shared" ca="1" si="271"/>
        <v>10.58569696315578</v>
      </c>
      <c r="G612" s="306">
        <f t="shared" ca="1" si="272"/>
        <v>41.358963228402217</v>
      </c>
      <c r="H612" s="307">
        <f t="shared" ca="1" si="273"/>
        <v>56.816576459081539</v>
      </c>
      <c r="I612" s="304">
        <f t="shared" ca="1" si="274"/>
        <v>70.275793840119547</v>
      </c>
      <c r="J612" s="306">
        <f t="shared" ca="1" si="275"/>
        <v>664.75368344300773</v>
      </c>
      <c r="K612" s="307">
        <f t="shared" ca="1" si="276"/>
        <v>1978.4340822554989</v>
      </c>
      <c r="L612" s="304">
        <f t="shared" ca="1" si="261"/>
        <v>2087.1269433077628</v>
      </c>
      <c r="M612" s="306">
        <f t="shared" ca="1" si="277"/>
        <v>0.94156484442578292</v>
      </c>
      <c r="N612" s="304">
        <f t="shared" ca="1" si="278"/>
        <v>53.947691723489321</v>
      </c>
      <c r="P612" s="310">
        <f t="shared" ca="1" si="279"/>
        <v>23</v>
      </c>
      <c r="Q612" s="304">
        <f t="shared" ca="1" si="280"/>
        <v>0</v>
      </c>
      <c r="R612" s="306">
        <f t="shared" ca="1" si="281"/>
        <v>0</v>
      </c>
      <c r="S612" s="307">
        <f t="shared" ca="1" si="282"/>
        <v>12.409999999999973</v>
      </c>
      <c r="T612" s="304">
        <f t="shared" ca="1" si="262"/>
        <v>121.74209999999975</v>
      </c>
      <c r="U612" s="311">
        <f t="shared" ca="1" si="263"/>
        <v>0</v>
      </c>
      <c r="V612" s="306">
        <f t="shared" ca="1" si="264"/>
        <v>1.0044581960031733</v>
      </c>
      <c r="W612" s="304">
        <f t="shared" ca="1" si="265"/>
        <v>11.327746714515031</v>
      </c>
      <c r="Y612" s="314" t="str">
        <f t="shared" ca="1" si="283"/>
        <v/>
      </c>
      <c r="Z612" s="315" t="str">
        <f t="shared" ca="1" si="284"/>
        <v/>
      </c>
      <c r="AA612" s="316" t="str">
        <f t="shared" ca="1" si="285"/>
        <v/>
      </c>
      <c r="AC612" s="310" t="e">
        <f t="shared" ca="1" si="286"/>
        <v>#N/A</v>
      </c>
      <c r="AD612" s="323" t="e">
        <f t="shared" ca="1" si="287"/>
        <v>#N/A</v>
      </c>
      <c r="AE612" s="324">
        <f t="shared" ca="1" si="266"/>
        <v>1978.4340822554989</v>
      </c>
      <c r="AG612" s="306">
        <f t="shared" ca="1" si="288"/>
        <v>-8.9144046136978492</v>
      </c>
      <c r="AH612" s="304">
        <f t="shared" ca="1" si="289"/>
        <v>-0.93657725150505378</v>
      </c>
    </row>
    <row r="613" spans="1:34" x14ac:dyDescent="0.25">
      <c r="A613" s="347">
        <f t="shared" ca="1" si="267"/>
        <v>0.1</v>
      </c>
      <c r="B613" s="304">
        <f t="shared" ca="1" si="268"/>
        <v>15.899999999999899</v>
      </c>
      <c r="D613" s="306">
        <f t="shared" ca="1" si="269"/>
        <v>-0.53719953936575227</v>
      </c>
      <c r="E613" s="307">
        <f t="shared" ca="1" si="270"/>
        <v>-10.547973979995648</v>
      </c>
      <c r="F613" s="304">
        <f t="shared" ca="1" si="271"/>
        <v>10.561644683843516</v>
      </c>
      <c r="G613" s="306">
        <f t="shared" ca="1" si="272"/>
        <v>41.305243274465639</v>
      </c>
      <c r="H613" s="307">
        <f t="shared" ca="1" si="273"/>
        <v>55.761779061081974</v>
      </c>
      <c r="I613" s="304">
        <f t="shared" ca="1" si="274"/>
        <v>69.393797460722013</v>
      </c>
      <c r="J613" s="306">
        <f t="shared" ca="1" si="275"/>
        <v>668.88689376815114</v>
      </c>
      <c r="K613" s="307">
        <f t="shared" ca="1" si="276"/>
        <v>1984.063000031507</v>
      </c>
      <c r="L613" s="304">
        <f t="shared" ca="1" si="261"/>
        <v>2093.7802331545759</v>
      </c>
      <c r="M613" s="306">
        <f t="shared" ca="1" si="277"/>
        <v>0.93324496089083142</v>
      </c>
      <c r="N613" s="304">
        <f t="shared" ca="1" si="278"/>
        <v>53.470997510896211</v>
      </c>
      <c r="P613" s="310">
        <f t="shared" ca="1" si="279"/>
        <v>23</v>
      </c>
      <c r="Q613" s="304">
        <f t="shared" ca="1" si="280"/>
        <v>0</v>
      </c>
      <c r="R613" s="306">
        <f t="shared" ca="1" si="281"/>
        <v>0</v>
      </c>
      <c r="S613" s="307">
        <f t="shared" ca="1" si="282"/>
        <v>12.409999999999973</v>
      </c>
      <c r="T613" s="304">
        <f t="shared" ca="1" si="262"/>
        <v>121.74209999999975</v>
      </c>
      <c r="U613" s="311">
        <f t="shared" ca="1" si="263"/>
        <v>0</v>
      </c>
      <c r="V613" s="306">
        <f t="shared" ca="1" si="264"/>
        <v>1.0038873535310455</v>
      </c>
      <c r="W613" s="304">
        <f t="shared" ca="1" si="265"/>
        <v>11.038916144707802</v>
      </c>
      <c r="Y613" s="314" t="str">
        <f t="shared" ca="1" si="283"/>
        <v/>
      </c>
      <c r="Z613" s="315" t="str">
        <f t="shared" ca="1" si="284"/>
        <v/>
      </c>
      <c r="AA613" s="316" t="str">
        <f t="shared" ca="1" si="285"/>
        <v/>
      </c>
      <c r="AC613" s="310" t="e">
        <f t="shared" ca="1" si="286"/>
        <v>#N/A</v>
      </c>
      <c r="AD613" s="323" t="e">
        <f t="shared" ca="1" si="287"/>
        <v>#N/A</v>
      </c>
      <c r="AE613" s="324">
        <f t="shared" ca="1" si="266"/>
        <v>1984.063000031507</v>
      </c>
      <c r="AG613" s="306">
        <f t="shared" ca="1" si="288"/>
        <v>-8.8439810090476936</v>
      </c>
      <c r="AH613" s="304">
        <f t="shared" ca="1" si="289"/>
        <v>-0.91279183839766764</v>
      </c>
    </row>
    <row r="614" spans="1:34" x14ac:dyDescent="0.25">
      <c r="A614" s="347">
        <f t="shared" ca="1" si="267"/>
        <v>0.1</v>
      </c>
      <c r="B614" s="304">
        <f t="shared" ca="1" si="268"/>
        <v>15.999999999999899</v>
      </c>
      <c r="D614" s="306">
        <f t="shared" ca="1" si="269"/>
        <v>-0.52946734854656452</v>
      </c>
      <c r="E614" s="307">
        <f t="shared" ca="1" si="270"/>
        <v>-10.52477708322715</v>
      </c>
      <c r="F614" s="304">
        <f t="shared" ca="1" si="271"/>
        <v>10.538086558991644</v>
      </c>
      <c r="G614" s="306">
        <f t="shared" ca="1" si="272"/>
        <v>41.252296539610981</v>
      </c>
      <c r="H614" s="307">
        <f t="shared" ca="1" si="273"/>
        <v>54.709301352759262</v>
      </c>
      <c r="I614" s="304">
        <f t="shared" ca="1" si="274"/>
        <v>68.519045704818637</v>
      </c>
      <c r="J614" s="306">
        <f t="shared" ca="1" si="275"/>
        <v>673.01477075885498</v>
      </c>
      <c r="K614" s="307">
        <f t="shared" ca="1" si="276"/>
        <v>1989.5865540521991</v>
      </c>
      <c r="L614" s="304">
        <f t="shared" ca="1" si="261"/>
        <v>2100.3341490641192</v>
      </c>
      <c r="M614" s="306">
        <f t="shared" ca="1" si="277"/>
        <v>0.92472284396159232</v>
      </c>
      <c r="N614" s="304">
        <f t="shared" ca="1" si="278"/>
        <v>52.982716178333824</v>
      </c>
      <c r="P614" s="310">
        <f t="shared" ca="1" si="279"/>
        <v>23</v>
      </c>
      <c r="Q614" s="304">
        <f t="shared" ca="1" si="280"/>
        <v>0</v>
      </c>
      <c r="R614" s="306">
        <f t="shared" ca="1" si="281"/>
        <v>0</v>
      </c>
      <c r="S614" s="307">
        <f t="shared" ca="1" si="282"/>
        <v>12.409999999999973</v>
      </c>
      <c r="T614" s="304">
        <f t="shared" ca="1" si="262"/>
        <v>121.74209999999975</v>
      </c>
      <c r="U614" s="311">
        <f t="shared" ca="1" si="263"/>
        <v>0</v>
      </c>
      <c r="V614" s="306">
        <f t="shared" ca="1" si="264"/>
        <v>1.0033274803532117</v>
      </c>
      <c r="W614" s="304">
        <f t="shared" ca="1" si="265"/>
        <v>10.756363282273165</v>
      </c>
      <c r="Y614" s="314" t="str">
        <f t="shared" ca="1" si="283"/>
        <v/>
      </c>
      <c r="Z614" s="315" t="str">
        <f t="shared" ca="1" si="284"/>
        <v/>
      </c>
      <c r="AA614" s="316" t="str">
        <f t="shared" ca="1" si="285"/>
        <v/>
      </c>
      <c r="AC614" s="310">
        <f t="shared" ca="1" si="286"/>
        <v>15.999999999999899</v>
      </c>
      <c r="AD614" s="323">
        <f t="shared" ca="1" si="287"/>
        <v>673.01477075885498</v>
      </c>
      <c r="AE614" s="324">
        <f t="shared" ca="1" si="266"/>
        <v>1989.5865540521991</v>
      </c>
      <c r="AG614" s="306">
        <f t="shared" ca="1" si="288"/>
        <v>-8.7723988929156889</v>
      </c>
      <c r="AH614" s="304">
        <f t="shared" ca="1" si="289"/>
        <v>-0.88951781987976031</v>
      </c>
    </row>
    <row r="615" spans="1:34" x14ac:dyDescent="0.25">
      <c r="A615" s="347">
        <f t="shared" ca="1" si="267"/>
        <v>0.1</v>
      </c>
      <c r="B615" s="304">
        <f t="shared" ca="1" si="268"/>
        <v>16.099999999999898</v>
      </c>
      <c r="D615" s="306">
        <f t="shared" ca="1" si="269"/>
        <v>-0.5218317569617632</v>
      </c>
      <c r="E615" s="307">
        <f t="shared" ca="1" si="270"/>
        <v>-10.502059672839009</v>
      </c>
      <c r="F615" s="304">
        <f t="shared" ca="1" si="271"/>
        <v>10.51501620324216</v>
      </c>
      <c r="G615" s="306">
        <f t="shared" ca="1" si="272"/>
        <v>41.200113363914802</v>
      </c>
      <c r="H615" s="307">
        <f t="shared" ca="1" si="273"/>
        <v>53.659095385475361</v>
      </c>
      <c r="I615" s="304">
        <f t="shared" ca="1" si="274"/>
        <v>67.651665602459303</v>
      </c>
      <c r="J615" s="306">
        <f t="shared" ca="1" si="275"/>
        <v>677.13739125403129</v>
      </c>
      <c r="K615" s="307">
        <f t="shared" ca="1" si="276"/>
        <v>1995.0049738891107</v>
      </c>
      <c r="L615" s="304">
        <f t="shared" ca="1" si="261"/>
        <v>2106.7890004641199</v>
      </c>
      <c r="M615" s="306">
        <f t="shared" ca="1" si="277"/>
        <v>0.91599246981543947</v>
      </c>
      <c r="N615" s="304">
        <f t="shared" ca="1" si="278"/>
        <v>52.482502586189135</v>
      </c>
      <c r="P615" s="310">
        <f t="shared" ca="1" si="279"/>
        <v>23</v>
      </c>
      <c r="Q615" s="304">
        <f t="shared" ca="1" si="280"/>
        <v>0</v>
      </c>
      <c r="R615" s="306">
        <f t="shared" ca="1" si="281"/>
        <v>0</v>
      </c>
      <c r="S615" s="307">
        <f t="shared" ca="1" si="282"/>
        <v>12.409999999999973</v>
      </c>
      <c r="T615" s="304">
        <f t="shared" ca="1" si="262"/>
        <v>121.74209999999975</v>
      </c>
      <c r="U615" s="311">
        <f t="shared" ca="1" si="263"/>
        <v>0</v>
      </c>
      <c r="V615" s="306">
        <f t="shared" ca="1" si="264"/>
        <v>1.0027785369073243</v>
      </c>
      <c r="W615" s="304">
        <f t="shared" ca="1" si="265"/>
        <v>10.480021162582213</v>
      </c>
      <c r="Y615" s="314" t="str">
        <f t="shared" ca="1" si="283"/>
        <v/>
      </c>
      <c r="Z615" s="315" t="str">
        <f t="shared" ca="1" si="284"/>
        <v/>
      </c>
      <c r="AA615" s="316" t="str">
        <f t="shared" ca="1" si="285"/>
        <v/>
      </c>
      <c r="AC615" s="310" t="e">
        <f t="shared" ca="1" si="286"/>
        <v>#N/A</v>
      </c>
      <c r="AD615" s="323" t="e">
        <f t="shared" ca="1" si="287"/>
        <v>#N/A</v>
      </c>
      <c r="AE615" s="324">
        <f t="shared" ca="1" si="266"/>
        <v>1995.0049738891107</v>
      </c>
      <c r="AG615" s="306">
        <f t="shared" ca="1" si="288"/>
        <v>-8.6995827177152627</v>
      </c>
      <c r="AH615" s="304">
        <f t="shared" ca="1" si="289"/>
        <v>-0.86674966013482579</v>
      </c>
    </row>
    <row r="616" spans="1:34" x14ac:dyDescent="0.25">
      <c r="A616" s="347">
        <f t="shared" ca="1" si="267"/>
        <v>0.1</v>
      </c>
      <c r="B616" s="304">
        <f t="shared" ca="1" si="268"/>
        <v>16.1999999999999</v>
      </c>
      <c r="D616" s="306">
        <f t="shared" ca="1" si="269"/>
        <v>-0.51429262391928132</v>
      </c>
      <c r="E616" s="307">
        <f t="shared" ca="1" si="270"/>
        <v>-10.479815558980999</v>
      </c>
      <c r="F616" s="304">
        <f t="shared" ca="1" si="271"/>
        <v>10.49242731941842</v>
      </c>
      <c r="G616" s="306">
        <f t="shared" ca="1" si="272"/>
        <v>41.148684101522875</v>
      </c>
      <c r="H616" s="307">
        <f t="shared" ca="1" si="273"/>
        <v>52.611113829577263</v>
      </c>
      <c r="I616" s="304">
        <f t="shared" ca="1" si="274"/>
        <v>66.791792172958324</v>
      </c>
      <c r="J616" s="306">
        <f t="shared" ca="1" si="275"/>
        <v>681.25483112730319</v>
      </c>
      <c r="K616" s="307">
        <f t="shared" ca="1" si="276"/>
        <v>2000.3184843498634</v>
      </c>
      <c r="L616" s="304">
        <f t="shared" ca="1" si="261"/>
        <v>2113.1450929280804</v>
      </c>
      <c r="M616" s="306">
        <f t="shared" ca="1" si="277"/>
        <v>0.90704764952773653</v>
      </c>
      <c r="N616" s="304">
        <f t="shared" ca="1" si="278"/>
        <v>51.970002135200758</v>
      </c>
      <c r="P616" s="310">
        <f t="shared" ca="1" si="279"/>
        <v>23</v>
      </c>
      <c r="Q616" s="304">
        <f t="shared" ca="1" si="280"/>
        <v>0</v>
      </c>
      <c r="R616" s="306">
        <f t="shared" ca="1" si="281"/>
        <v>0</v>
      </c>
      <c r="S616" s="307">
        <f t="shared" ca="1" si="282"/>
        <v>12.409999999999973</v>
      </c>
      <c r="T616" s="304">
        <f t="shared" ca="1" si="262"/>
        <v>121.74209999999975</v>
      </c>
      <c r="U616" s="311">
        <f t="shared" ca="1" si="263"/>
        <v>0</v>
      </c>
      <c r="V616" s="306">
        <f t="shared" ca="1" si="264"/>
        <v>1.0022404844891959</v>
      </c>
      <c r="W616" s="304">
        <f t="shared" ca="1" si="265"/>
        <v>10.20982451977336</v>
      </c>
      <c r="Y616" s="314" t="str">
        <f t="shared" ca="1" si="283"/>
        <v/>
      </c>
      <c r="Z616" s="315" t="str">
        <f t="shared" ca="1" si="284"/>
        <v/>
      </c>
      <c r="AA616" s="316" t="str">
        <f t="shared" ca="1" si="285"/>
        <v/>
      </c>
      <c r="AC616" s="310" t="e">
        <f t="shared" ca="1" si="286"/>
        <v>#N/A</v>
      </c>
      <c r="AD616" s="323" t="e">
        <f t="shared" ca="1" si="287"/>
        <v>#N/A</v>
      </c>
      <c r="AE616" s="324">
        <f t="shared" ca="1" si="266"/>
        <v>2000.3184843498634</v>
      </c>
      <c r="AG616" s="306">
        <f t="shared" ca="1" si="288"/>
        <v>-8.6254541098547222</v>
      </c>
      <c r="AH616" s="304">
        <f t="shared" ca="1" si="289"/>
        <v>-0.8444819631411955</v>
      </c>
    </row>
    <row r="617" spans="1:34" x14ac:dyDescent="0.25">
      <c r="A617" s="347">
        <f t="shared" ca="1" si="267"/>
        <v>0.1</v>
      </c>
      <c r="B617" s="304">
        <f t="shared" ca="1" si="268"/>
        <v>16.299999999999901</v>
      </c>
      <c r="D617" s="306">
        <f t="shared" ca="1" si="269"/>
        <v>-0.50684988345564097</v>
      </c>
      <c r="E617" s="307">
        <f t="shared" ca="1" si="270"/>
        <v>-10.458038631009487</v>
      </c>
      <c r="F617" s="304">
        <f t="shared" ca="1" si="271"/>
        <v>10.470313692151052</v>
      </c>
      <c r="G617" s="306">
        <f t="shared" ca="1" si="272"/>
        <v>41.097999113177309</v>
      </c>
      <c r="H617" s="307">
        <f t="shared" ca="1" si="273"/>
        <v>51.565309966476313</v>
      </c>
      <c r="I617" s="304">
        <f t="shared" ca="1" si="274"/>
        <v>65.939568720499707</v>
      </c>
      <c r="J617" s="306">
        <f t="shared" ca="1" si="275"/>
        <v>685.36716528803822</v>
      </c>
      <c r="K617" s="307">
        <f t="shared" ca="1" si="276"/>
        <v>2005.527305539666</v>
      </c>
      <c r="L617" s="304">
        <f t="shared" ca="1" si="261"/>
        <v>2119.4027282515594</v>
      </c>
      <c r="M617" s="306">
        <f t="shared" ca="1" si="277"/>
        <v>0.89788202967970809</v>
      </c>
      <c r="N617" s="304">
        <f t="shared" ca="1" si="278"/>
        <v>51.444850801287394</v>
      </c>
      <c r="P617" s="310">
        <f t="shared" ca="1" si="279"/>
        <v>23</v>
      </c>
      <c r="Q617" s="304">
        <f t="shared" ca="1" si="280"/>
        <v>0</v>
      </c>
      <c r="R617" s="306">
        <f t="shared" ca="1" si="281"/>
        <v>0</v>
      </c>
      <c r="S617" s="307">
        <f t="shared" ca="1" si="282"/>
        <v>12.409999999999973</v>
      </c>
      <c r="T617" s="304">
        <f t="shared" ca="1" si="262"/>
        <v>121.74209999999975</v>
      </c>
      <c r="U617" s="311">
        <f t="shared" ca="1" si="263"/>
        <v>0</v>
      </c>
      <c r="V617" s="306">
        <f t="shared" ca="1" si="264"/>
        <v>1.0017132852419655</v>
      </c>
      <c r="W617" s="304">
        <f t="shared" ca="1" si="265"/>
        <v>9.9457097516500994</v>
      </c>
      <c r="Y617" s="314" t="str">
        <f t="shared" ca="1" si="283"/>
        <v/>
      </c>
      <c r="Z617" s="315" t="str">
        <f t="shared" ca="1" si="284"/>
        <v/>
      </c>
      <c r="AA617" s="316" t="str">
        <f t="shared" ca="1" si="285"/>
        <v/>
      </c>
      <c r="AC617" s="310" t="e">
        <f t="shared" ca="1" si="286"/>
        <v>#N/A</v>
      </c>
      <c r="AD617" s="323" t="e">
        <f t="shared" ca="1" si="287"/>
        <v>#N/A</v>
      </c>
      <c r="AE617" s="324">
        <f t="shared" ca="1" si="266"/>
        <v>2005.527305539666</v>
      </c>
      <c r="AG617" s="306">
        <f t="shared" ca="1" si="288"/>
        <v>-8.549931780728155</v>
      </c>
      <c r="AH617" s="304">
        <f t="shared" ca="1" si="289"/>
        <v>-0.82270946976417259</v>
      </c>
    </row>
    <row r="618" spans="1:34" x14ac:dyDescent="0.25">
      <c r="A618" s="347">
        <f t="shared" ca="1" si="267"/>
        <v>0.1</v>
      </c>
      <c r="B618" s="304">
        <f t="shared" ca="1" si="268"/>
        <v>16.399999999999903</v>
      </c>
      <c r="D618" s="306">
        <f t="shared" ca="1" si="269"/>
        <v>-0.49950354592547563</v>
      </c>
      <c r="E618" s="307">
        <f t="shared" ca="1" si="270"/>
        <v>-10.436722851009618</v>
      </c>
      <c r="F618" s="304">
        <f t="shared" ca="1" si="271"/>
        <v>10.448669181344505</v>
      </c>
      <c r="G618" s="306">
        <f t="shared" ca="1" si="272"/>
        <v>41.048048758584763</v>
      </c>
      <c r="H618" s="307">
        <f t="shared" ca="1" si="273"/>
        <v>50.521637681375353</v>
      </c>
      <c r="I618" s="304">
        <f t="shared" ca="1" si="274"/>
        <v>65.095147137826785</v>
      </c>
      <c r="J618" s="306">
        <f t="shared" ca="1" si="275"/>
        <v>689.47446768162638</v>
      </c>
      <c r="K618" s="307">
        <f t="shared" ca="1" si="276"/>
        <v>2010.6316529220587</v>
      </c>
      <c r="L618" s="304">
        <f t="shared" ca="1" si="261"/>
        <v>2125.5622045277696</v>
      </c>
      <c r="M618" s="306">
        <f t="shared" ca="1" si="277"/>
        <v>0.88848909382207086</v>
      </c>
      <c r="N618" s="304">
        <f t="shared" ca="1" si="278"/>
        <v>50.906675219407688</v>
      </c>
      <c r="P618" s="310">
        <f t="shared" ca="1" si="279"/>
        <v>23</v>
      </c>
      <c r="Q618" s="304">
        <f t="shared" ca="1" si="280"/>
        <v>0</v>
      </c>
      <c r="R618" s="306">
        <f t="shared" ca="1" si="281"/>
        <v>0</v>
      </c>
      <c r="S618" s="307">
        <f t="shared" ca="1" si="282"/>
        <v>12.409999999999973</v>
      </c>
      <c r="T618" s="304">
        <f t="shared" ca="1" si="262"/>
        <v>121.74209999999975</v>
      </c>
      <c r="U618" s="311">
        <f t="shared" ca="1" si="263"/>
        <v>0</v>
      </c>
      <c r="V618" s="306">
        <f t="shared" ca="1" si="264"/>
        <v>1.0011969021454648</v>
      </c>
      <c r="W618" s="304">
        <f t="shared" ca="1" si="265"/>
        <v>9.6876148855250293</v>
      </c>
      <c r="Y618" s="314" t="str">
        <f t="shared" ca="1" si="283"/>
        <v/>
      </c>
      <c r="Z618" s="315" t="str">
        <f t="shared" ca="1" si="284"/>
        <v/>
      </c>
      <c r="AA618" s="316" t="str">
        <f t="shared" ca="1" si="285"/>
        <v/>
      </c>
      <c r="AC618" s="310" t="e">
        <f t="shared" ca="1" si="286"/>
        <v>#N/A</v>
      </c>
      <c r="AD618" s="323" t="e">
        <f t="shared" ca="1" si="287"/>
        <v>#N/A</v>
      </c>
      <c r="AE618" s="324">
        <f t="shared" ca="1" si="266"/>
        <v>2010.6316529220587</v>
      </c>
      <c r="AG618" s="306">
        <f t="shared" ca="1" si="288"/>
        <v>-8.4729314427605402</v>
      </c>
      <c r="AH618" s="304">
        <f t="shared" ca="1" si="289"/>
        <v>-0.80142705492748756</v>
      </c>
    </row>
    <row r="619" spans="1:34" x14ac:dyDescent="0.25">
      <c r="A619" s="347">
        <f t="shared" ca="1" si="267"/>
        <v>0.1</v>
      </c>
      <c r="B619" s="304">
        <f t="shared" ca="1" si="268"/>
        <v>16.499999999999904</v>
      </c>
      <c r="D619" s="306">
        <f t="shared" ca="1" si="269"/>
        <v>-0.49225369965981225</v>
      </c>
      <c r="E619" s="307">
        <f t="shared" ca="1" si="270"/>
        <v>-10.415862247138566</v>
      </c>
      <c r="F619" s="304">
        <f t="shared" ca="1" si="271"/>
        <v>10.427487715466043</v>
      </c>
      <c r="G619" s="306">
        <f t="shared" ca="1" si="272"/>
        <v>40.998823388618781</v>
      </c>
      <c r="H619" s="307">
        <f t="shared" ca="1" si="273"/>
        <v>49.480051456661499</v>
      </c>
      <c r="I619" s="304">
        <f t="shared" ca="1" si="274"/>
        <v>64.25868821727552</v>
      </c>
      <c r="J619" s="306">
        <f t="shared" ca="1" si="275"/>
        <v>693.57681128898651</v>
      </c>
      <c r="K619" s="307">
        <f t="shared" ca="1" si="276"/>
        <v>2015.6317373789605</v>
      </c>
      <c r="L619" s="304">
        <f t="shared" ca="1" si="261"/>
        <v>2131.6238162225354</v>
      </c>
      <c r="M619" s="306">
        <f t="shared" ca="1" si="277"/>
        <v>0.87886216491637759</v>
      </c>
      <c r="N619" s="304">
        <f t="shared" ca="1" si="278"/>
        <v>50.355092823438966</v>
      </c>
      <c r="P619" s="310">
        <f t="shared" ca="1" si="279"/>
        <v>23</v>
      </c>
      <c r="Q619" s="304">
        <f t="shared" ca="1" si="280"/>
        <v>0</v>
      </c>
      <c r="R619" s="306">
        <f t="shared" ca="1" si="281"/>
        <v>0</v>
      </c>
      <c r="S619" s="307">
        <f t="shared" ca="1" si="282"/>
        <v>12.409999999999973</v>
      </c>
      <c r="T619" s="304">
        <f t="shared" ca="1" si="262"/>
        <v>121.74209999999975</v>
      </c>
      <c r="U619" s="311">
        <f t="shared" ca="1" si="263"/>
        <v>0</v>
      </c>
      <c r="V619" s="306">
        <f t="shared" ca="1" si="264"/>
        <v>1.0006912990057866</v>
      </c>
      <c r="W619" s="304">
        <f t="shared" ca="1" si="265"/>
        <v>9.4354795449731466</v>
      </c>
      <c r="Y619" s="314" t="str">
        <f t="shared" ca="1" si="283"/>
        <v/>
      </c>
      <c r="Z619" s="315" t="str">
        <f t="shared" ca="1" si="284"/>
        <v/>
      </c>
      <c r="AA619" s="316" t="str">
        <f t="shared" ca="1" si="285"/>
        <v/>
      </c>
      <c r="AC619" s="310" t="e">
        <f t="shared" ca="1" si="286"/>
        <v>#N/A</v>
      </c>
      <c r="AD619" s="323" t="e">
        <f t="shared" ca="1" si="287"/>
        <v>#N/A</v>
      </c>
      <c r="AE619" s="324">
        <f t="shared" ca="1" si="266"/>
        <v>2015.6317373789605</v>
      </c>
      <c r="AG619" s="306">
        <f t="shared" ca="1" si="288"/>
        <v>-8.3943657320155065</v>
      </c>
      <c r="AH619" s="304">
        <f t="shared" ca="1" si="289"/>
        <v>-0.78062972486100324</v>
      </c>
    </row>
    <row r="620" spans="1:34" x14ac:dyDescent="0.25">
      <c r="A620" s="347">
        <f t="shared" ca="1" si="267"/>
        <v>0.1</v>
      </c>
      <c r="B620" s="304">
        <f t="shared" ca="1" si="268"/>
        <v>16.599999999999905</v>
      </c>
      <c r="D620" s="306">
        <f t="shared" ca="1" si="269"/>
        <v>-0.48510051268730214</v>
      </c>
      <c r="E620" s="307">
        <f t="shared" ca="1" si="270"/>
        <v>-10.395450906771236</v>
      </c>
      <c r="F620" s="304">
        <f t="shared" ca="1" si="271"/>
        <v>10.406763284638524</v>
      </c>
      <c r="G620" s="306">
        <f t="shared" ca="1" si="272"/>
        <v>40.950313337350053</v>
      </c>
      <c r="H620" s="307">
        <f t="shared" ca="1" si="273"/>
        <v>48.440506365984376</v>
      </c>
      <c r="I620" s="304">
        <f t="shared" ca="1" si="274"/>
        <v>63.430361968225618</v>
      </c>
      <c r="J620" s="306">
        <f t="shared" ca="1" si="275"/>
        <v>697.67426812528493</v>
      </c>
      <c r="K620" s="307">
        <f t="shared" ca="1" si="276"/>
        <v>2020.5277652700927</v>
      </c>
      <c r="L620" s="304">
        <f t="shared" ca="1" si="261"/>
        <v>2137.5878542486871</v>
      </c>
      <c r="M620" s="306">
        <f t="shared" ca="1" si="277"/>
        <v>0.86899440888820523</v>
      </c>
      <c r="N620" s="304">
        <f t="shared" ca="1" si="278"/>
        <v>49.789712049759913</v>
      </c>
      <c r="P620" s="310">
        <f t="shared" ca="1" si="279"/>
        <v>23</v>
      </c>
      <c r="Q620" s="304">
        <f t="shared" ca="1" si="280"/>
        <v>0</v>
      </c>
      <c r="R620" s="306">
        <f t="shared" ca="1" si="281"/>
        <v>0</v>
      </c>
      <c r="S620" s="307">
        <f t="shared" ca="1" si="282"/>
        <v>12.409999999999973</v>
      </c>
      <c r="T620" s="304">
        <f t="shared" ca="1" si="262"/>
        <v>121.74209999999975</v>
      </c>
      <c r="U620" s="311">
        <f t="shared" ca="1" si="263"/>
        <v>0</v>
      </c>
      <c r="V620" s="306">
        <f t="shared" ca="1" si="264"/>
        <v>1.0001964404450316</v>
      </c>
      <c r="W620" s="304">
        <f t="shared" ca="1" si="265"/>
        <v>9.1892449174577635</v>
      </c>
      <c r="Y620" s="314" t="str">
        <f t="shared" ca="1" si="283"/>
        <v/>
      </c>
      <c r="Z620" s="315" t="str">
        <f t="shared" ca="1" si="284"/>
        <v/>
      </c>
      <c r="AA620" s="316" t="str">
        <f t="shared" ca="1" si="285"/>
        <v/>
      </c>
      <c r="AC620" s="310" t="e">
        <f t="shared" ca="1" si="286"/>
        <v>#N/A</v>
      </c>
      <c r="AD620" s="323" t="e">
        <f t="shared" ca="1" si="287"/>
        <v>#N/A</v>
      </c>
      <c r="AE620" s="324">
        <f t="shared" ca="1" si="266"/>
        <v>2020.5277652700927</v>
      </c>
      <c r="AG620" s="306">
        <f t="shared" ca="1" si="288"/>
        <v>-8.3141441390956246</v>
      </c>
      <c r="AH620" s="304">
        <f t="shared" ca="1" si="289"/>
        <v>-0.76031261442168951</v>
      </c>
    </row>
    <row r="621" spans="1:34" x14ac:dyDescent="0.25">
      <c r="A621" s="347">
        <f t="shared" ca="1" si="267"/>
        <v>0.1</v>
      </c>
      <c r="B621" s="304">
        <f t="shared" ca="1" si="268"/>
        <v>16.699999999999907</v>
      </c>
      <c r="D621" s="306">
        <f t="shared" ca="1" si="269"/>
        <v>-0.47804423451127176</v>
      </c>
      <c r="E621" s="307">
        <f t="shared" ca="1" si="270"/>
        <v>-10.37548296942931</v>
      </c>
      <c r="F621" s="304">
        <f t="shared" ca="1" si="271"/>
        <v>10.386489933517826</v>
      </c>
      <c r="G621" s="306">
        <f t="shared" ca="1" si="272"/>
        <v>40.902508913898927</v>
      </c>
      <c r="H621" s="307">
        <f t="shared" ca="1" si="273"/>
        <v>47.402958069041446</v>
      </c>
      <c r="I621" s="304">
        <f t="shared" ca="1" si="274"/>
        <v>62.610347939832458</v>
      </c>
      <c r="J621" s="306">
        <f t="shared" ca="1" si="275"/>
        <v>701.76690923784736</v>
      </c>
      <c r="K621" s="307">
        <f t="shared" ca="1" si="276"/>
        <v>2025.3199384918439</v>
      </c>
      <c r="L621" s="304">
        <f t="shared" ca="1" si="261"/>
        <v>2143.454606039943</v>
      </c>
      <c r="M621" s="306">
        <f t="shared" ca="1" si="277"/>
        <v>0.85887883943916832</v>
      </c>
      <c r="N621" s="304">
        <f t="shared" ca="1" si="278"/>
        <v>49.210132612958624</v>
      </c>
      <c r="P621" s="310">
        <f t="shared" ca="1" si="279"/>
        <v>23</v>
      </c>
      <c r="Q621" s="304">
        <f t="shared" ca="1" si="280"/>
        <v>0</v>
      </c>
      <c r="R621" s="306">
        <f t="shared" ca="1" si="281"/>
        <v>0</v>
      </c>
      <c r="S621" s="307">
        <f t="shared" ca="1" si="282"/>
        <v>12.409999999999973</v>
      </c>
      <c r="T621" s="304">
        <f t="shared" ca="1" si="262"/>
        <v>121.74209999999975</v>
      </c>
      <c r="U621" s="311">
        <f t="shared" ca="1" si="263"/>
        <v>0</v>
      </c>
      <c r="V621" s="306">
        <f t="shared" ca="1" si="264"/>
        <v>0.99971229189123934</v>
      </c>
      <c r="W621" s="304">
        <f t="shared" ca="1" si="265"/>
        <v>8.9488537227930305</v>
      </c>
      <c r="Y621" s="314" t="str">
        <f t="shared" ca="1" si="283"/>
        <v/>
      </c>
      <c r="Z621" s="315" t="str">
        <f t="shared" ca="1" si="284"/>
        <v/>
      </c>
      <c r="AA621" s="316" t="str">
        <f t="shared" ca="1" si="285"/>
        <v/>
      </c>
      <c r="AC621" s="310" t="e">
        <f t="shared" ca="1" si="286"/>
        <v>#N/A</v>
      </c>
      <c r="AD621" s="323" t="e">
        <f t="shared" ca="1" si="287"/>
        <v>#N/A</v>
      </c>
      <c r="AE621" s="324">
        <f t="shared" ca="1" si="266"/>
        <v>2025.3199384918439</v>
      </c>
      <c r="AG621" s="306">
        <f t="shared" ca="1" si="288"/>
        <v>-8.2321729503092769</v>
      </c>
      <c r="AH621" s="304">
        <f t="shared" ca="1" si="289"/>
        <v>-0.740470984484914</v>
      </c>
    </row>
    <row r="622" spans="1:34" x14ac:dyDescent="0.25">
      <c r="A622" s="347">
        <f t="shared" ca="1" si="267"/>
        <v>0.1</v>
      </c>
      <c r="B622" s="304">
        <f t="shared" ca="1" si="268"/>
        <v>16.799999999999908</v>
      </c>
      <c r="D622" s="306">
        <f t="shared" ca="1" si="269"/>
        <v>-0.47108519793398551</v>
      </c>
      <c r="E622" s="307">
        <f t="shared" ca="1" si="270"/>
        <v>-10.355952619474222</v>
      </c>
      <c r="F622" s="304">
        <f t="shared" ca="1" si="271"/>
        <v>10.366661753935425</v>
      </c>
      <c r="G622" s="306">
        <f t="shared" ca="1" si="272"/>
        <v>40.85540039410553</v>
      </c>
      <c r="H622" s="307">
        <f t="shared" ca="1" si="273"/>
        <v>46.367362807094025</v>
      </c>
      <c r="I622" s="304">
        <f t="shared" ca="1" si="274"/>
        <v>61.798835547665178</v>
      </c>
      <c r="J622" s="306">
        <f t="shared" ca="1" si="275"/>
        <v>705.85480470324762</v>
      </c>
      <c r="K622" s="307">
        <f t="shared" ca="1" si="276"/>
        <v>2030.0084545356508</v>
      </c>
      <c r="L622" s="304">
        <f t="shared" ca="1" si="261"/>
        <v>2149.2243556243452</v>
      </c>
      <c r="M622" s="306">
        <f t="shared" ca="1" si="277"/>
        <v>0.84850832427819045</v>
      </c>
      <c r="N622" s="304">
        <f t="shared" ca="1" si="278"/>
        <v>48.615945862858155</v>
      </c>
      <c r="P622" s="310">
        <f t="shared" ca="1" si="279"/>
        <v>23</v>
      </c>
      <c r="Q622" s="304">
        <f t="shared" ca="1" si="280"/>
        <v>0</v>
      </c>
      <c r="R622" s="306">
        <f t="shared" ca="1" si="281"/>
        <v>0</v>
      </c>
      <c r="S622" s="307">
        <f t="shared" ca="1" si="282"/>
        <v>12.409999999999973</v>
      </c>
      <c r="T622" s="304">
        <f t="shared" ca="1" si="262"/>
        <v>121.74209999999975</v>
      </c>
      <c r="U622" s="311">
        <f t="shared" ca="1" si="263"/>
        <v>0</v>
      </c>
      <c r="V622" s="306">
        <f t="shared" ca="1" si="264"/>
        <v>0.9992388195684796</v>
      </c>
      <c r="W622" s="304">
        <f t="shared" ca="1" si="265"/>
        <v>8.7142501824076746</v>
      </c>
      <c r="Y622" s="314" t="str">
        <f t="shared" ca="1" si="283"/>
        <v/>
      </c>
      <c r="Z622" s="315" t="str">
        <f t="shared" ca="1" si="284"/>
        <v/>
      </c>
      <c r="AA622" s="316" t="str">
        <f t="shared" ca="1" si="285"/>
        <v/>
      </c>
      <c r="AC622" s="310" t="e">
        <f t="shared" ca="1" si="286"/>
        <v>#N/A</v>
      </c>
      <c r="AD622" s="323" t="e">
        <f t="shared" ca="1" si="287"/>
        <v>#N/A</v>
      </c>
      <c r="AE622" s="324">
        <f t="shared" ca="1" si="266"/>
        <v>2030.0084545356508</v>
      </c>
      <c r="AG622" s="306">
        <f t="shared" ca="1" si="288"/>
        <v>-8.1483552013460088</v>
      </c>
      <c r="AH622" s="304">
        <f t="shared" ca="1" si="289"/>
        <v>-0.72110021940314661</v>
      </c>
    </row>
    <row r="623" spans="1:34" x14ac:dyDescent="0.25">
      <c r="A623" s="347">
        <f t="shared" ca="1" si="267"/>
        <v>0.1</v>
      </c>
      <c r="B623" s="304">
        <f t="shared" ca="1" si="268"/>
        <v>16.89999999999991</v>
      </c>
      <c r="D623" s="306">
        <f t="shared" ca="1" si="269"/>
        <v>-0.46422382091784375</v>
      </c>
      <c r="E623" s="307">
        <f t="shared" ca="1" si="270"/>
        <v>-10.336854078544256</v>
      </c>
      <c r="F623" s="304">
        <f t="shared" ca="1" si="271"/>
        <v>10.347272877286294</v>
      </c>
      <c r="G623" s="306">
        <f t="shared" ca="1" si="272"/>
        <v>40.808978012013746</v>
      </c>
      <c r="H623" s="307">
        <f t="shared" ca="1" si="273"/>
        <v>45.333677399239598</v>
      </c>
      <c r="I623" s="304">
        <f t="shared" ca="1" si="274"/>
        <v>60.996024402606345</v>
      </c>
      <c r="J623" s="306">
        <f t="shared" ca="1" si="275"/>
        <v>709.93802362355359</v>
      </c>
      <c r="K623" s="307">
        <f t="shared" ca="1" si="276"/>
        <v>2034.5935065459676</v>
      </c>
      <c r="L623" s="304">
        <f t="shared" ca="1" si="261"/>
        <v>2154.897383697315</v>
      </c>
      <c r="M623" s="306">
        <f t="shared" ca="1" si="277"/>
        <v>0.83787559294641234</v>
      </c>
      <c r="N623" s="304">
        <f t="shared" ca="1" si="278"/>
        <v>48.006735232850758</v>
      </c>
      <c r="P623" s="310">
        <f t="shared" ca="1" si="279"/>
        <v>23</v>
      </c>
      <c r="Q623" s="304">
        <f t="shared" ca="1" si="280"/>
        <v>0</v>
      </c>
      <c r="R623" s="306">
        <f t="shared" ca="1" si="281"/>
        <v>0</v>
      </c>
      <c r="S623" s="307">
        <f t="shared" ca="1" si="282"/>
        <v>12.409999999999973</v>
      </c>
      <c r="T623" s="304">
        <f t="shared" ca="1" si="262"/>
        <v>121.74209999999975</v>
      </c>
      <c r="U623" s="311">
        <f t="shared" ca="1" si="263"/>
        <v>0</v>
      </c>
      <c r="V623" s="306">
        <f t="shared" ca="1" si="264"/>
        <v>0.99877599048710541</v>
      </c>
      <c r="W623" s="304">
        <f t="shared" ca="1" si="265"/>
        <v>8.4853799893747226</v>
      </c>
      <c r="Y623" s="314" t="str">
        <f t="shared" ca="1" si="283"/>
        <v/>
      </c>
      <c r="Z623" s="315" t="str">
        <f t="shared" ca="1" si="284"/>
        <v/>
      </c>
      <c r="AA623" s="316" t="str">
        <f t="shared" ca="1" si="285"/>
        <v/>
      </c>
      <c r="AC623" s="310" t="e">
        <f t="shared" ca="1" si="286"/>
        <v>#N/A</v>
      </c>
      <c r="AD623" s="323" t="e">
        <f t="shared" ca="1" si="287"/>
        <v>#N/A</v>
      </c>
      <c r="AE623" s="324">
        <f t="shared" ca="1" si="266"/>
        <v>2034.5935065459676</v>
      </c>
      <c r="AG623" s="306">
        <f t="shared" ca="1" si="288"/>
        <v>-8.0625906459940744</v>
      </c>
      <c r="AH623" s="304">
        <f t="shared" ca="1" si="289"/>
        <v>-0.70219582452922591</v>
      </c>
    </row>
    <row r="624" spans="1:34" x14ac:dyDescent="0.25">
      <c r="A624" s="347">
        <f t="shared" ca="1" si="267"/>
        <v>0.1</v>
      </c>
      <c r="B624" s="304">
        <f t="shared" ca="1" si="268"/>
        <v>16.999999999999911</v>
      </c>
      <c r="D624" s="306">
        <f t="shared" ca="1" si="269"/>
        <v>-0.45746060847132958</v>
      </c>
      <c r="E624" s="307">
        <f t="shared" ca="1" si="270"/>
        <v>-10.318181597715924</v>
      </c>
      <c r="F624" s="304">
        <f t="shared" ca="1" si="271"/>
        <v>10.328317466642206</v>
      </c>
      <c r="G624" s="306">
        <f t="shared" ca="1" si="272"/>
        <v>40.76323195116661</v>
      </c>
      <c r="H624" s="307">
        <f t="shared" ca="1" si="273"/>
        <v>44.301859239468008</v>
      </c>
      <c r="I624" s="304">
        <f t="shared" ca="1" si="274"/>
        <v>60.202124640067709</v>
      </c>
      <c r="J624" s="306">
        <f t="shared" ca="1" si="275"/>
        <v>714.01663412171263</v>
      </c>
      <c r="K624" s="307">
        <f t="shared" ca="1" si="276"/>
        <v>2039.0752833779029</v>
      </c>
      <c r="L624" s="304">
        <f t="shared" ca="1" si="261"/>
        <v>2160.4739676943982</v>
      </c>
      <c r="M624" s="306">
        <f t="shared" ca="1" si="277"/>
        <v>0.82697324642439041</v>
      </c>
      <c r="N624" s="304">
        <f t="shared" ca="1" si="278"/>
        <v>47.382076790349764</v>
      </c>
      <c r="P624" s="310">
        <f t="shared" ca="1" si="279"/>
        <v>23</v>
      </c>
      <c r="Q624" s="304">
        <f t="shared" ca="1" si="280"/>
        <v>0</v>
      </c>
      <c r="R624" s="306">
        <f t="shared" ca="1" si="281"/>
        <v>0</v>
      </c>
      <c r="S624" s="307">
        <f t="shared" ca="1" si="282"/>
        <v>12.409999999999973</v>
      </c>
      <c r="T624" s="304">
        <f t="shared" ca="1" si="262"/>
        <v>121.74209999999975</v>
      </c>
      <c r="U624" s="311">
        <f t="shared" ca="1" si="263"/>
        <v>0</v>
      </c>
      <c r="V624" s="306">
        <f t="shared" ca="1" si="264"/>
        <v>0.99832377243415027</v>
      </c>
      <c r="W624" s="304">
        <f t="shared" ca="1" si="265"/>
        <v>8.2621902791726285</v>
      </c>
      <c r="Y624" s="314" t="str">
        <f t="shared" ca="1" si="283"/>
        <v/>
      </c>
      <c r="Z624" s="315" t="str">
        <f t="shared" ca="1" si="284"/>
        <v/>
      </c>
      <c r="AA624" s="316" t="str">
        <f t="shared" ca="1" si="285"/>
        <v/>
      </c>
      <c r="AC624" s="310">
        <f t="shared" ca="1" si="286"/>
        <v>16.999999999999911</v>
      </c>
      <c r="AD624" s="323">
        <f t="shared" ca="1" si="287"/>
        <v>714.01663412171263</v>
      </c>
      <c r="AE624" s="324">
        <f t="shared" ca="1" si="266"/>
        <v>2039.0752833779029</v>
      </c>
      <c r="AG624" s="306">
        <f t="shared" ca="1" si="288"/>
        <v>-7.9747757427500181</v>
      </c>
      <c r="AH624" s="304">
        <f t="shared" ca="1" si="289"/>
        <v>-0.68375342380134896</v>
      </c>
    </row>
    <row r="625" spans="1:34" x14ac:dyDescent="0.25">
      <c r="A625" s="347">
        <f t="shared" ca="1" si="267"/>
        <v>0.1</v>
      </c>
      <c r="B625" s="304">
        <f t="shared" ca="1" si="268"/>
        <v>17.099999999999913</v>
      </c>
      <c r="D625" s="306">
        <f t="shared" ca="1" si="269"/>
        <v>-0.45079615454541283</v>
      </c>
      <c r="E625" s="307">
        <f t="shared" ca="1" si="270"/>
        <v>-10.299929449369699</v>
      </c>
      <c r="F625" s="304">
        <f t="shared" ca="1" si="271"/>
        <v>10.309789708570497</v>
      </c>
      <c r="G625" s="306">
        <f t="shared" ca="1" si="272"/>
        <v>40.71815233571207</v>
      </c>
      <c r="H625" s="307">
        <f t="shared" ca="1" si="273"/>
        <v>43.271866294531037</v>
      </c>
      <c r="I625" s="304">
        <f t="shared" ca="1" si="274"/>
        <v>59.417357247239003</v>
      </c>
      <c r="J625" s="306">
        <f t="shared" ca="1" si="275"/>
        <v>718.09070333605655</v>
      </c>
      <c r="K625" s="307">
        <f t="shared" ca="1" si="276"/>
        <v>2043.4539696546028</v>
      </c>
      <c r="L625" s="304">
        <f t="shared" ca="1" si="261"/>
        <v>2165.9543818637608</v>
      </c>
      <c r="M625" s="306">
        <f t="shared" ca="1" si="277"/>
        <v>0.8157937687246416</v>
      </c>
      <c r="N625" s="304">
        <f t="shared" ca="1" si="278"/>
        <v>46.741539900993537</v>
      </c>
      <c r="P625" s="310">
        <f t="shared" ca="1" si="279"/>
        <v>23</v>
      </c>
      <c r="Q625" s="304">
        <f t="shared" ca="1" si="280"/>
        <v>0</v>
      </c>
      <c r="R625" s="306">
        <f t="shared" ca="1" si="281"/>
        <v>0</v>
      </c>
      <c r="S625" s="307">
        <f t="shared" ca="1" si="282"/>
        <v>12.409999999999973</v>
      </c>
      <c r="T625" s="304">
        <f t="shared" ca="1" si="262"/>
        <v>121.74209999999975</v>
      </c>
      <c r="U625" s="311">
        <f t="shared" ca="1" si="263"/>
        <v>0</v>
      </c>
      <c r="V625" s="306">
        <f t="shared" ca="1" si="264"/>
        <v>0.99788213396386272</v>
      </c>
      <c r="W625" s="304">
        <f t="shared" ca="1" si="265"/>
        <v>8.0446296011432601</v>
      </c>
      <c r="Y625" s="314" t="str">
        <f t="shared" ca="1" si="283"/>
        <v/>
      </c>
      <c r="Z625" s="315" t="str">
        <f t="shared" ca="1" si="284"/>
        <v/>
      </c>
      <c r="AA625" s="316" t="str">
        <f t="shared" ca="1" si="285"/>
        <v/>
      </c>
      <c r="AC625" s="310" t="e">
        <f t="shared" ca="1" si="286"/>
        <v>#N/A</v>
      </c>
      <c r="AD625" s="323" t="e">
        <f t="shared" ca="1" si="287"/>
        <v>#N/A</v>
      </c>
      <c r="AE625" s="324">
        <f t="shared" ca="1" si="266"/>
        <v>2043.4539696546028</v>
      </c>
      <c r="AG625" s="306">
        <f t="shared" ca="1" si="288"/>
        <v>-7.8848036625094506</v>
      </c>
      <c r="AH625" s="304">
        <f t="shared" ca="1" si="289"/>
        <v>-0.66576875738699803</v>
      </c>
    </row>
    <row r="626" spans="1:34" x14ac:dyDescent="0.25">
      <c r="A626" s="347">
        <f t="shared" ca="1" si="267"/>
        <v>0.1</v>
      </c>
      <c r="B626" s="304">
        <f t="shared" ca="1" si="268"/>
        <v>17.199999999999914</v>
      </c>
      <c r="D626" s="306">
        <f t="shared" ca="1" si="269"/>
        <v>-0.4442311439237363</v>
      </c>
      <c r="E626" s="307">
        <f t="shared" ca="1" si="270"/>
        <v>-10.282091918740505</v>
      </c>
      <c r="F626" s="304">
        <f t="shared" ca="1" si="271"/>
        <v>10.291683804638607</v>
      </c>
      <c r="G626" s="306">
        <f t="shared" ca="1" si="272"/>
        <v>40.673729221319697</v>
      </c>
      <c r="H626" s="307">
        <f t="shared" ca="1" si="273"/>
        <v>42.243657102656989</v>
      </c>
      <c r="I626" s="304">
        <f t="shared" ca="1" si="274"/>
        <v>58.641954385713461</v>
      </c>
      <c r="J626" s="306">
        <f t="shared" ca="1" si="275"/>
        <v>722.1602974139081</v>
      </c>
      <c r="K626" s="307">
        <f t="shared" ca="1" si="276"/>
        <v>2047.7297458244623</v>
      </c>
      <c r="L626" s="304">
        <f t="shared" ca="1" si="261"/>
        <v>2171.3388973385204</v>
      </c>
      <c r="M626" s="306">
        <f t="shared" ca="1" si="277"/>
        <v>0.80432954068685691</v>
      </c>
      <c r="N626" s="304">
        <f t="shared" ca="1" si="278"/>
        <v>46.084688019052933</v>
      </c>
      <c r="P626" s="310">
        <f t="shared" ca="1" si="279"/>
        <v>23</v>
      </c>
      <c r="Q626" s="304">
        <f t="shared" ca="1" si="280"/>
        <v>0</v>
      </c>
      <c r="R626" s="306">
        <f t="shared" ca="1" si="281"/>
        <v>0</v>
      </c>
      <c r="S626" s="307">
        <f t="shared" ca="1" si="282"/>
        <v>12.409999999999973</v>
      </c>
      <c r="T626" s="304">
        <f t="shared" ca="1" si="262"/>
        <v>121.74209999999975</v>
      </c>
      <c r="U626" s="311">
        <f t="shared" ca="1" si="263"/>
        <v>0</v>
      </c>
      <c r="V626" s="306">
        <f t="shared" ca="1" si="264"/>
        <v>0.99745104438836529</v>
      </c>
      <c r="W626" s="304">
        <f t="shared" ca="1" si="265"/>
        <v>7.832647890612539</v>
      </c>
      <c r="Y626" s="314" t="str">
        <f t="shared" ca="1" si="283"/>
        <v/>
      </c>
      <c r="Z626" s="315" t="str">
        <f t="shared" ca="1" si="284"/>
        <v/>
      </c>
      <c r="AA626" s="316" t="str">
        <f t="shared" ca="1" si="285"/>
        <v/>
      </c>
      <c r="AC626" s="310" t="e">
        <f t="shared" ca="1" si="286"/>
        <v>#N/A</v>
      </c>
      <c r="AD626" s="323" t="e">
        <f t="shared" ca="1" si="287"/>
        <v>#N/A</v>
      </c>
      <c r="AE626" s="324">
        <f t="shared" ca="1" si="266"/>
        <v>2047.7297458244623</v>
      </c>
      <c r="AG626" s="306">
        <f t="shared" ca="1" si="288"/>
        <v>-7.7925643208893618</v>
      </c>
      <c r="AH626" s="304">
        <f t="shared" ca="1" si="289"/>
        <v>-0.6482376793830199</v>
      </c>
    </row>
    <row r="627" spans="1:34" x14ac:dyDescent="0.25">
      <c r="A627" s="347">
        <f t="shared" ca="1" si="267"/>
        <v>0.1</v>
      </c>
      <c r="B627" s="304">
        <f t="shared" ca="1" si="268"/>
        <v>17.299999999999915</v>
      </c>
      <c r="D627" s="306">
        <f t="shared" ca="1" si="269"/>
        <v>-0.4377663540872872</v>
      </c>
      <c r="E627" s="307">
        <f t="shared" ca="1" si="270"/>
        <v>-10.264663295133765</v>
      </c>
      <c r="F627" s="304">
        <f t="shared" ca="1" si="271"/>
        <v>10.273993962585205</v>
      </c>
      <c r="G627" s="306">
        <f t="shared" ca="1" si="272"/>
        <v>40.629952585910971</v>
      </c>
      <c r="H627" s="307">
        <f t="shared" ca="1" si="273"/>
        <v>41.217190773143614</v>
      </c>
      <c r="I627" s="304">
        <f t="shared" ca="1" si="274"/>
        <v>57.876159706420474</v>
      </c>
      <c r="J627" s="306">
        <f t="shared" ca="1" si="275"/>
        <v>726.22548150426962</v>
      </c>
      <c r="K627" s="307">
        <f t="shared" ca="1" si="276"/>
        <v>2051.9027882182522</v>
      </c>
      <c r="L627" s="304">
        <f t="shared" ca="1" si="261"/>
        <v>2176.6277822089719</v>
      </c>
      <c r="M627" s="306">
        <f t="shared" ca="1" si="277"/>
        <v>0.79257285620688689</v>
      </c>
      <c r="N627" s="304">
        <f t="shared" ca="1" si="278"/>
        <v>45.41107961728369</v>
      </c>
      <c r="P627" s="310">
        <f t="shared" ca="1" si="279"/>
        <v>23</v>
      </c>
      <c r="Q627" s="304">
        <f t="shared" ca="1" si="280"/>
        <v>0</v>
      </c>
      <c r="R627" s="306">
        <f t="shared" ca="1" si="281"/>
        <v>0</v>
      </c>
      <c r="S627" s="307">
        <f t="shared" ca="1" si="282"/>
        <v>12.409999999999973</v>
      </c>
      <c r="T627" s="304">
        <f t="shared" ca="1" si="262"/>
        <v>121.74209999999975</v>
      </c>
      <c r="U627" s="311">
        <f t="shared" ca="1" si="263"/>
        <v>0</v>
      </c>
      <c r="V627" s="306">
        <f t="shared" ca="1" si="264"/>
        <v>0.99703047376843157</v>
      </c>
      <c r="W627" s="304">
        <f t="shared" ca="1" si="265"/>
        <v>7.6261964416396557</v>
      </c>
      <c r="Y627" s="314" t="str">
        <f t="shared" ca="1" si="283"/>
        <v/>
      </c>
      <c r="Z627" s="315" t="str">
        <f t="shared" ca="1" si="284"/>
        <v/>
      </c>
      <c r="AA627" s="316" t="str">
        <f t="shared" ca="1" si="285"/>
        <v/>
      </c>
      <c r="AC627" s="310" t="e">
        <f t="shared" ca="1" si="286"/>
        <v>#N/A</v>
      </c>
      <c r="AD627" s="323" t="e">
        <f t="shared" ca="1" si="287"/>
        <v>#N/A</v>
      </c>
      <c r="AE627" s="324">
        <f t="shared" ca="1" si="266"/>
        <v>2051.9027882182522</v>
      </c>
      <c r="AG627" s="306">
        <f t="shared" ca="1" si="288"/>
        <v>-7.6979444391128222</v>
      </c>
      <c r="AH627" s="304">
        <f t="shared" ca="1" si="289"/>
        <v>-0.63115615556910198</v>
      </c>
    </row>
    <row r="628" spans="1:34" x14ac:dyDescent="0.25">
      <c r="A628" s="347">
        <f t="shared" ca="1" si="267"/>
        <v>0.1</v>
      </c>
      <c r="B628" s="304">
        <f t="shared" ca="1" si="268"/>
        <v>17.399999999999917</v>
      </c>
      <c r="D628" s="306">
        <f t="shared" ca="1" si="269"/>
        <v>-0.43140265703135949</v>
      </c>
      <c r="E628" s="307">
        <f t="shared" ca="1" si="270"/>
        <v>-10.247637862788659</v>
      </c>
      <c r="F628" s="304">
        <f t="shared" ca="1" si="271"/>
        <v>10.256714387139452</v>
      </c>
      <c r="G628" s="306">
        <f t="shared" ca="1" si="272"/>
        <v>40.586812320207834</v>
      </c>
      <c r="H628" s="307">
        <f t="shared" ca="1" si="273"/>
        <v>40.192426986864746</v>
      </c>
      <c r="I628" s="304">
        <f t="shared" ca="1" si="274"/>
        <v>57.120228653343361</v>
      </c>
      <c r="J628" s="306">
        <f t="shared" ca="1" si="275"/>
        <v>730.28631974957557</v>
      </c>
      <c r="K628" s="307">
        <f t="shared" ca="1" si="276"/>
        <v>2055.9732691062527</v>
      </c>
      <c r="L628" s="304">
        <f t="shared" ca="1" si="261"/>
        <v>2181.8213015948008</v>
      </c>
      <c r="M628" s="306">
        <f t="shared" ca="1" si="277"/>
        <v>0.78051594114349021</v>
      </c>
      <c r="N628" s="304">
        <f t="shared" ca="1" si="278"/>
        <v>44.720269270203353</v>
      </c>
      <c r="P628" s="310">
        <f t="shared" ca="1" si="279"/>
        <v>23</v>
      </c>
      <c r="Q628" s="304">
        <f t="shared" ca="1" si="280"/>
        <v>0</v>
      </c>
      <c r="R628" s="306">
        <f t="shared" ca="1" si="281"/>
        <v>0</v>
      </c>
      <c r="S628" s="307">
        <f t="shared" ca="1" si="282"/>
        <v>12.409999999999973</v>
      </c>
      <c r="T628" s="304">
        <f t="shared" ca="1" si="262"/>
        <v>121.74209999999975</v>
      </c>
      <c r="U628" s="311">
        <f t="shared" ca="1" si="263"/>
        <v>0</v>
      </c>
      <c r="V628" s="306">
        <f t="shared" ca="1" si="264"/>
        <v>0.99662039290436488</v>
      </c>
      <c r="W628" s="304">
        <f t="shared" ca="1" si="265"/>
        <v>7.4252278803608744</v>
      </c>
      <c r="Y628" s="314" t="str">
        <f t="shared" ca="1" si="283"/>
        <v/>
      </c>
      <c r="Z628" s="315" t="str">
        <f t="shared" ca="1" si="284"/>
        <v/>
      </c>
      <c r="AA628" s="316" t="str">
        <f t="shared" ca="1" si="285"/>
        <v/>
      </c>
      <c r="AC628" s="310" t="e">
        <f t="shared" ca="1" si="286"/>
        <v>#N/A</v>
      </c>
      <c r="AD628" s="323" t="e">
        <f t="shared" ca="1" si="287"/>
        <v>#N/A</v>
      </c>
      <c r="AE628" s="324">
        <f t="shared" ca="1" si="266"/>
        <v>2055.9732691062527</v>
      </c>
      <c r="AG628" s="306">
        <f t="shared" ca="1" si="288"/>
        <v>-7.6008276377824195</v>
      </c>
      <c r="AH628" s="304">
        <f t="shared" ca="1" si="289"/>
        <v>-0.6145202612118994</v>
      </c>
    </row>
    <row r="629" spans="1:34" x14ac:dyDescent="0.25">
      <c r="A629" s="347">
        <f t="shared" ca="1" si="267"/>
        <v>0.1</v>
      </c>
      <c r="B629" s="304">
        <f t="shared" ca="1" si="268"/>
        <v>17.499999999999918</v>
      </c>
      <c r="D629" s="306">
        <f t="shared" ca="1" si="269"/>
        <v>-0.42514102100942802</v>
      </c>
      <c r="E629" s="307">
        <f t="shared" ca="1" si="270"/>
        <v>-10.231009891371412</v>
      </c>
      <c r="F629" s="304">
        <f t="shared" ca="1" si="271"/>
        <v>10.239839270471222</v>
      </c>
      <c r="G629" s="306">
        <f t="shared" ca="1" si="272"/>
        <v>40.544298218106888</v>
      </c>
      <c r="H629" s="307">
        <f t="shared" ca="1" si="273"/>
        <v>39.169325997727604</v>
      </c>
      <c r="I629" s="304">
        <f t="shared" ca="1" si="274"/>
        <v>56.374428752006395</v>
      </c>
      <c r="J629" s="306">
        <f t="shared" ca="1" si="275"/>
        <v>734.34287527649133</v>
      </c>
      <c r="K629" s="307">
        <f t="shared" ca="1" si="276"/>
        <v>2059.9413567554825</v>
      </c>
      <c r="L629" s="304">
        <f t="shared" ca="1" si="261"/>
        <v>2186.9197177173564</v>
      </c>
      <c r="M629" s="306">
        <f t="shared" ca="1" si="277"/>
        <v>0.76815097515830455</v>
      </c>
      <c r="N629" s="304">
        <f t="shared" ca="1" si="278"/>
        <v>44.011808905429397</v>
      </c>
      <c r="P629" s="310">
        <f t="shared" ca="1" si="279"/>
        <v>23</v>
      </c>
      <c r="Q629" s="304">
        <f t="shared" ca="1" si="280"/>
        <v>0</v>
      </c>
      <c r="R629" s="306">
        <f t="shared" ca="1" si="281"/>
        <v>0</v>
      </c>
      <c r="S629" s="307">
        <f t="shared" ca="1" si="282"/>
        <v>12.409999999999973</v>
      </c>
      <c r="T629" s="304">
        <f t="shared" ca="1" si="262"/>
        <v>121.74209999999975</v>
      </c>
      <c r="U629" s="311">
        <f t="shared" ca="1" si="263"/>
        <v>0</v>
      </c>
      <c r="V629" s="306">
        <f t="shared" ca="1" si="264"/>
        <v>0.99622077332696901</v>
      </c>
      <c r="W629" s="304">
        <f t="shared" ca="1" si="265"/>
        <v>7.2296961388939067</v>
      </c>
      <c r="Y629" s="314" t="str">
        <f t="shared" ca="1" si="283"/>
        <v/>
      </c>
      <c r="Z629" s="315" t="str">
        <f t="shared" ca="1" si="284"/>
        <v/>
      </c>
      <c r="AA629" s="316" t="str">
        <f t="shared" ca="1" si="285"/>
        <v/>
      </c>
      <c r="AC629" s="310" t="e">
        <f t="shared" ca="1" si="286"/>
        <v>#N/A</v>
      </c>
      <c r="AD629" s="323" t="e">
        <f t="shared" ca="1" si="287"/>
        <v>#N/A</v>
      </c>
      <c r="AE629" s="324">
        <f t="shared" ca="1" si="266"/>
        <v>2059.9413567554825</v>
      </c>
      <c r="AG629" s="306">
        <f t="shared" ca="1" si="288"/>
        <v>-7.5010945682740857</v>
      </c>
      <c r="AH629" s="304">
        <f t="shared" ca="1" si="289"/>
        <v>-0.59832617891707418</v>
      </c>
    </row>
    <row r="630" spans="1:34" x14ac:dyDescent="0.25">
      <c r="A630" s="347">
        <f t="shared" ca="1" si="267"/>
        <v>0.1</v>
      </c>
      <c r="B630" s="304">
        <f t="shared" ca="1" si="268"/>
        <v>17.59999999999992</v>
      </c>
      <c r="D630" s="306">
        <f t="shared" ca="1" si="269"/>
        <v>-0.41898251217509852</v>
      </c>
      <c r="E630" s="307">
        <f t="shared" ca="1" si="270"/>
        <v>-10.214773626082993</v>
      </c>
      <c r="F630" s="304">
        <f t="shared" ca="1" si="271"/>
        <v>10.223362782256592</v>
      </c>
      <c r="G630" s="306">
        <f t="shared" ca="1" si="272"/>
        <v>40.502399966889378</v>
      </c>
      <c r="H630" s="307">
        <f t="shared" ca="1" si="273"/>
        <v>38.147848635119303</v>
      </c>
      <c r="I630" s="304">
        <f t="shared" ca="1" si="274"/>
        <v>55.63903987818135</v>
      </c>
      <c r="J630" s="306">
        <f t="shared" ca="1" si="275"/>
        <v>738.39521018574112</v>
      </c>
      <c r="K630" s="307">
        <f t="shared" ca="1" si="276"/>
        <v>2063.8072154871247</v>
      </c>
      <c r="L630" s="304">
        <f t="shared" ca="1" si="261"/>
        <v>2191.923289972066</v>
      </c>
      <c r="M630" s="306">
        <f t="shared" ca="1" si="277"/>
        <v>0.75547011675394282</v>
      </c>
      <c r="N630" s="304">
        <f t="shared" ca="1" si="278"/>
        <v>43.285249238256469</v>
      </c>
      <c r="P630" s="310">
        <f t="shared" ca="1" si="279"/>
        <v>23</v>
      </c>
      <c r="Q630" s="304">
        <f t="shared" ca="1" si="280"/>
        <v>0</v>
      </c>
      <c r="R630" s="306">
        <f t="shared" ca="1" si="281"/>
        <v>0</v>
      </c>
      <c r="S630" s="307">
        <f t="shared" ca="1" si="282"/>
        <v>12.409999999999973</v>
      </c>
      <c r="T630" s="304">
        <f t="shared" ca="1" si="262"/>
        <v>121.74209999999975</v>
      </c>
      <c r="U630" s="311">
        <f t="shared" ca="1" si="263"/>
        <v>0</v>
      </c>
      <c r="V630" s="306">
        <f t="shared" ca="1" si="264"/>
        <v>0.99583158728860288</v>
      </c>
      <c r="W630" s="304">
        <f t="shared" ca="1" si="265"/>
        <v>7.0395564297688864</v>
      </c>
      <c r="Y630" s="314" t="str">
        <f t="shared" ca="1" si="283"/>
        <v/>
      </c>
      <c r="Z630" s="315" t="str">
        <f t="shared" ca="1" si="284"/>
        <v/>
      </c>
      <c r="AA630" s="316" t="str">
        <f t="shared" ca="1" si="285"/>
        <v/>
      </c>
      <c r="AC630" s="310" t="e">
        <f t="shared" ca="1" si="286"/>
        <v>#N/A</v>
      </c>
      <c r="AD630" s="323" t="e">
        <f t="shared" ca="1" si="287"/>
        <v>#N/A</v>
      </c>
      <c r="AE630" s="324">
        <f t="shared" ca="1" si="266"/>
        <v>2063.8072154871247</v>
      </c>
      <c r="AG630" s="306">
        <f t="shared" ca="1" si="288"/>
        <v>-7.3986230868900664</v>
      </c>
      <c r="AH630" s="304">
        <f t="shared" ca="1" si="289"/>
        <v>-0.58257019652650466</v>
      </c>
    </row>
    <row r="631" spans="1:34" x14ac:dyDescent="0.25">
      <c r="A631" s="347">
        <f t="shared" ca="1" si="267"/>
        <v>0.1</v>
      </c>
      <c r="B631" s="304">
        <f t="shared" ca="1" si="268"/>
        <v>17.699999999999921</v>
      </c>
      <c r="D631" s="306">
        <f t="shared" ca="1" si="269"/>
        <v>-0.41292829608955661</v>
      </c>
      <c r="E631" s="307">
        <f t="shared" ca="1" si="270"/>
        <v>-10.198923277367753</v>
      </c>
      <c r="F631" s="304">
        <f t="shared" ca="1" si="271"/>
        <v>10.20727905934511</v>
      </c>
      <c r="G631" s="306">
        <f t="shared" ca="1" si="272"/>
        <v>40.461107137280422</v>
      </c>
      <c r="H631" s="307">
        <f t="shared" ca="1" si="273"/>
        <v>37.127956307382526</v>
      </c>
      <c r="I631" s="304">
        <f t="shared" ca="1" si="274"/>
        <v>54.914354501691001</v>
      </c>
      <c r="J631" s="306">
        <f t="shared" ca="1" si="275"/>
        <v>742.44338554094963</v>
      </c>
      <c r="K631" s="307">
        <f t="shared" ca="1" si="276"/>
        <v>2067.5710057342499</v>
      </c>
      <c r="L631" s="304">
        <f t="shared" ca="1" si="261"/>
        <v>2196.8322750010857</v>
      </c>
      <c r="M631" s="306">
        <f t="shared" ca="1" si="277"/>
        <v>0.74246553178179553</v>
      </c>
      <c r="N631" s="304">
        <f t="shared" ca="1" si="278"/>
        <v>42.540141405033175</v>
      </c>
      <c r="P631" s="310">
        <f t="shared" ca="1" si="279"/>
        <v>23</v>
      </c>
      <c r="Q631" s="304">
        <f t="shared" ca="1" si="280"/>
        <v>0</v>
      </c>
      <c r="R631" s="306">
        <f t="shared" ca="1" si="281"/>
        <v>0</v>
      </c>
      <c r="S631" s="307">
        <f t="shared" ca="1" si="282"/>
        <v>12.409999999999973</v>
      </c>
      <c r="T631" s="304">
        <f t="shared" ca="1" si="262"/>
        <v>121.74209999999975</v>
      </c>
      <c r="U631" s="311">
        <f t="shared" ca="1" si="263"/>
        <v>0</v>
      </c>
      <c r="V631" s="306">
        <f t="shared" ca="1" si="264"/>
        <v>0.99545280775430012</v>
      </c>
      <c r="W631" s="304">
        <f t="shared" ca="1" si="265"/>
        <v>6.8547652208518324</v>
      </c>
      <c r="Y631" s="314" t="str">
        <f t="shared" ca="1" si="283"/>
        <v/>
      </c>
      <c r="Z631" s="315" t="str">
        <f t="shared" ca="1" si="284"/>
        <v/>
      </c>
      <c r="AA631" s="316" t="str">
        <f t="shared" ca="1" si="285"/>
        <v/>
      </c>
      <c r="AC631" s="310" t="e">
        <f t="shared" ca="1" si="286"/>
        <v>#N/A</v>
      </c>
      <c r="AD631" s="323" t="e">
        <f t="shared" ca="1" si="287"/>
        <v>#N/A</v>
      </c>
      <c r="AE631" s="324">
        <f t="shared" ca="1" si="266"/>
        <v>2067.5710057342499</v>
      </c>
      <c r="AG631" s="306">
        <f t="shared" ca="1" si="288"/>
        <v>-7.2932884773091669</v>
      </c>
      <c r="AH631" s="304">
        <f t="shared" ca="1" si="289"/>
        <v>-0.56724870505792924</v>
      </c>
    </row>
    <row r="632" spans="1:34" x14ac:dyDescent="0.25">
      <c r="A632" s="347">
        <f t="shared" ca="1" si="267"/>
        <v>0.1</v>
      </c>
      <c r="B632" s="304">
        <f t="shared" ca="1" si="268"/>
        <v>17.799999999999923</v>
      </c>
      <c r="D632" s="306">
        <f t="shared" ca="1" si="269"/>
        <v>-0.4069796390579305</v>
      </c>
      <c r="E632" s="307">
        <f t="shared" ca="1" si="270"/>
        <v>-10.183453010212236</v>
      </c>
      <c r="F632" s="304">
        <f t="shared" ca="1" si="271"/>
        <v>10.191582195018023</v>
      </c>
      <c r="G632" s="306">
        <f t="shared" ca="1" si="272"/>
        <v>40.42040917337463</v>
      </c>
      <c r="H632" s="307">
        <f t="shared" ca="1" si="273"/>
        <v>36.109611006361305</v>
      </c>
      <c r="I632" s="304">
        <f t="shared" ca="1" si="274"/>
        <v>54.200677899577578</v>
      </c>
      <c r="J632" s="306">
        <f t="shared" ca="1" si="275"/>
        <v>746.48746135648241</v>
      </c>
      <c r="K632" s="307">
        <f t="shared" ca="1" si="276"/>
        <v>2071.2328840999371</v>
      </c>
      <c r="L632" s="304">
        <f t="shared" ca="1" si="261"/>
        <v>2201.646926766276</v>
      </c>
      <c r="M632" s="306">
        <f t="shared" ca="1" si="277"/>
        <v>0.72912942569417338</v>
      </c>
      <c r="N632" s="304">
        <f t="shared" ca="1" si="278"/>
        <v>41.776038811073697</v>
      </c>
      <c r="P632" s="310">
        <f t="shared" ca="1" si="279"/>
        <v>23</v>
      </c>
      <c r="Q632" s="304">
        <f t="shared" ca="1" si="280"/>
        <v>0</v>
      </c>
      <c r="R632" s="306">
        <f t="shared" ca="1" si="281"/>
        <v>0</v>
      </c>
      <c r="S632" s="307">
        <f t="shared" ca="1" si="282"/>
        <v>12.409999999999973</v>
      </c>
      <c r="T632" s="304">
        <f t="shared" ca="1" si="262"/>
        <v>121.74209999999975</v>
      </c>
      <c r="U632" s="311">
        <f t="shared" ca="1" si="263"/>
        <v>0</v>
      </c>
      <c r="V632" s="306">
        <f t="shared" ca="1" si="264"/>
        <v>0.99508440839294865</v>
      </c>
      <c r="W632" s="304">
        <f t="shared" ca="1" si="265"/>
        <v>6.6752802107263909</v>
      </c>
      <c r="Y632" s="314" t="str">
        <f t="shared" ca="1" si="283"/>
        <v/>
      </c>
      <c r="Z632" s="315" t="str">
        <f t="shared" ca="1" si="284"/>
        <v/>
      </c>
      <c r="AA632" s="316" t="str">
        <f t="shared" ca="1" si="285"/>
        <v/>
      </c>
      <c r="AC632" s="310" t="e">
        <f t="shared" ca="1" si="286"/>
        <v>#N/A</v>
      </c>
      <c r="AD632" s="323" t="e">
        <f t="shared" ca="1" si="287"/>
        <v>#N/A</v>
      </c>
      <c r="AE632" s="324">
        <f t="shared" ca="1" si="266"/>
        <v>2071.2328840999371</v>
      </c>
      <c r="AG632" s="306">
        <f t="shared" ca="1" si="288"/>
        <v>-7.1849637272510929</v>
      </c>
      <c r="AH632" s="304">
        <f t="shared" ca="1" si="289"/>
        <v>-0.55235819668427455</v>
      </c>
    </row>
    <row r="633" spans="1:34" x14ac:dyDescent="0.25">
      <c r="A633" s="347">
        <f t="shared" ca="1" si="267"/>
        <v>0.1</v>
      </c>
      <c r="B633" s="304">
        <f t="shared" ca="1" si="268"/>
        <v>17.899999999999924</v>
      </c>
      <c r="D633" s="306">
        <f t="shared" ca="1" si="269"/>
        <v>-0.40113790925372794</v>
      </c>
      <c r="E633" s="307">
        <f t="shared" ca="1" si="270"/>
        <v>-10.168356933026759</v>
      </c>
      <c r="F633" s="304">
        <f t="shared" ca="1" si="271"/>
        <v>10.176266227830018</v>
      </c>
      <c r="G633" s="306">
        <f t="shared" ca="1" si="272"/>
        <v>40.380295382449255</v>
      </c>
      <c r="H633" s="307">
        <f t="shared" ca="1" si="273"/>
        <v>35.092775313058631</v>
      </c>
      <c r="I633" s="304">
        <f t="shared" ca="1" si="274"/>
        <v>53.498328332263526</v>
      </c>
      <c r="J633" s="306">
        <f t="shared" ca="1" si="275"/>
        <v>750.52749658427365</v>
      </c>
      <c r="K633" s="307">
        <f t="shared" ca="1" si="276"/>
        <v>2074.7930034159081</v>
      </c>
      <c r="L633" s="304">
        <f t="shared" ca="1" si="261"/>
        <v>2206.3674966225963</v>
      </c>
      <c r="M633" s="306">
        <f t="shared" ca="1" si="277"/>
        <v>0.71545407981388309</v>
      </c>
      <c r="N633" s="304">
        <f t="shared" ca="1" si="278"/>
        <v>40.992499208751447</v>
      </c>
      <c r="P633" s="310">
        <f t="shared" ca="1" si="279"/>
        <v>23</v>
      </c>
      <c r="Q633" s="304">
        <f t="shared" ca="1" si="280"/>
        <v>0</v>
      </c>
      <c r="R633" s="306">
        <f t="shared" ca="1" si="281"/>
        <v>0</v>
      </c>
      <c r="S633" s="307">
        <f t="shared" ca="1" si="282"/>
        <v>12.409999999999973</v>
      </c>
      <c r="T633" s="304">
        <f t="shared" ca="1" si="262"/>
        <v>121.74209999999975</v>
      </c>
      <c r="U633" s="311">
        <f t="shared" ca="1" si="263"/>
        <v>0</v>
      </c>
      <c r="V633" s="306">
        <f t="shared" ca="1" si="264"/>
        <v>0.99472636356851107</v>
      </c>
      <c r="W633" s="304">
        <f t="shared" ca="1" si="265"/>
        <v>6.5010603044994273</v>
      </c>
      <c r="Y633" s="314" t="str">
        <f t="shared" ca="1" si="283"/>
        <v/>
      </c>
      <c r="Z633" s="315" t="str">
        <f t="shared" ca="1" si="284"/>
        <v/>
      </c>
      <c r="AA633" s="316" t="str">
        <f t="shared" ca="1" si="285"/>
        <v/>
      </c>
      <c r="AC633" s="310" t="e">
        <f t="shared" ca="1" si="286"/>
        <v>#N/A</v>
      </c>
      <c r="AD633" s="323" t="e">
        <f t="shared" ca="1" si="287"/>
        <v>#N/A</v>
      </c>
      <c r="AE633" s="324">
        <f t="shared" ca="1" si="266"/>
        <v>2074.7930034159081</v>
      </c>
      <c r="AG633" s="306">
        <f t="shared" ca="1" si="288"/>
        <v>-7.0735198656142462</v>
      </c>
      <c r="AH633" s="304">
        <f t="shared" ca="1" si="289"/>
        <v>-0.53789526274991173</v>
      </c>
    </row>
    <row r="634" spans="1:34" x14ac:dyDescent="0.25">
      <c r="A634" s="347">
        <f t="shared" ca="1" si="267"/>
        <v>0.1</v>
      </c>
      <c r="B634" s="304">
        <f t="shared" ca="1" si="268"/>
        <v>17.999999999999925</v>
      </c>
      <c r="D634" s="306">
        <f t="shared" ca="1" si="269"/>
        <v>-0.39540457758603814</v>
      </c>
      <c r="E634" s="307">
        <f t="shared" ca="1" si="270"/>
        <v>-10.153629086106504</v>
      </c>
      <c r="F634" s="304">
        <f t="shared" ca="1" si="271"/>
        <v>10.161325130031219</v>
      </c>
      <c r="G634" s="306">
        <f t="shared" ca="1" si="272"/>
        <v>40.34075492469065</v>
      </c>
      <c r="H634" s="307">
        <f t="shared" ca="1" si="273"/>
        <v>34.077412404447983</v>
      </c>
      <c r="I634" s="304">
        <f t="shared" ca="1" si="274"/>
        <v>52.807637175665967</v>
      </c>
      <c r="J634" s="306">
        <f t="shared" ca="1" si="275"/>
        <v>754.56354909963068</v>
      </c>
      <c r="K634" s="307">
        <f t="shared" ca="1" si="276"/>
        <v>2078.2515128017835</v>
      </c>
      <c r="L634" s="304">
        <f t="shared" ca="1" si="261"/>
        <v>2210.9942333920121</v>
      </c>
      <c r="M634" s="306">
        <f t="shared" ca="1" si="277"/>
        <v>0.70143189188704536</v>
      </c>
      <c r="N634" s="304">
        <f t="shared" ca="1" si="278"/>
        <v>40.189087021004347</v>
      </c>
      <c r="P634" s="310">
        <f t="shared" ca="1" si="279"/>
        <v>23</v>
      </c>
      <c r="Q634" s="304">
        <f t="shared" ca="1" si="280"/>
        <v>0</v>
      </c>
      <c r="R634" s="306">
        <f t="shared" ca="1" si="281"/>
        <v>0</v>
      </c>
      <c r="S634" s="307">
        <f t="shared" ca="1" si="282"/>
        <v>12.409999999999973</v>
      </c>
      <c r="T634" s="304">
        <f t="shared" ca="1" si="262"/>
        <v>121.74209999999975</v>
      </c>
      <c r="U634" s="311">
        <f t="shared" ca="1" si="263"/>
        <v>0</v>
      </c>
      <c r="V634" s="306">
        <f t="shared" ca="1" si="264"/>
        <v>0.9943786483312772</v>
      </c>
      <c r="W634" s="304">
        <f t="shared" ca="1" si="265"/>
        <v>6.3320655899958727</v>
      </c>
      <c r="Y634" s="314" t="str">
        <f t="shared" ca="1" si="283"/>
        <v/>
      </c>
      <c r="Z634" s="315" t="str">
        <f t="shared" ca="1" si="284"/>
        <v/>
      </c>
      <c r="AA634" s="316" t="str">
        <f t="shared" ca="1" si="285"/>
        <v/>
      </c>
      <c r="AC634" s="310">
        <f t="shared" ca="1" si="286"/>
        <v>17.999999999999925</v>
      </c>
      <c r="AD634" s="323">
        <f t="shared" ca="1" si="287"/>
        <v>754.56354909963068</v>
      </c>
      <c r="AE634" s="324">
        <f t="shared" ca="1" si="266"/>
        <v>2078.2515128017835</v>
      </c>
      <c r="AG634" s="306">
        <f t="shared" ca="1" si="288"/>
        <v>-6.9588263666334589</v>
      </c>
      <c r="AH634" s="304">
        <f t="shared" ca="1" si="289"/>
        <v>-0.52385659182106703</v>
      </c>
    </row>
    <row r="635" spans="1:34" x14ac:dyDescent="0.25">
      <c r="A635" s="347">
        <f t="shared" ca="1" si="267"/>
        <v>0.1</v>
      </c>
      <c r="B635" s="304">
        <f t="shared" ca="1" si="268"/>
        <v>18.099999999999927</v>
      </c>
      <c r="D635" s="306">
        <f t="shared" ca="1" si="269"/>
        <v>-0.38978121825955764</v>
      </c>
      <c r="E635" s="307">
        <f t="shared" ca="1" si="270"/>
        <v>-10.13926342967393</v>
      </c>
      <c r="F635" s="304">
        <f t="shared" ca="1" si="271"/>
        <v>10.146752795571155</v>
      </c>
      <c r="G635" s="306">
        <f t="shared" ca="1" si="272"/>
        <v>40.301776802864694</v>
      </c>
      <c r="H635" s="307">
        <f t="shared" ca="1" si="273"/>
        <v>33.063486061480589</v>
      </c>
      <c r="I635" s="304">
        <f t="shared" ca="1" si="274"/>
        <v>52.128949001544655</v>
      </c>
      <c r="J635" s="306">
        <f t="shared" ca="1" si="275"/>
        <v>758.59567568600846</v>
      </c>
      <c r="K635" s="307">
        <f t="shared" ca="1" si="276"/>
        <v>2081.6085577250801</v>
      </c>
      <c r="L635" s="304">
        <f t="shared" ca="1" si="261"/>
        <v>2215.5273834380382</v>
      </c>
      <c r="M635" s="306">
        <f t="shared" ca="1" si="277"/>
        <v>0.68705542117071094</v>
      </c>
      <c r="N635" s="304">
        <f t="shared" ca="1" si="278"/>
        <v>39.365375924664967</v>
      </c>
      <c r="P635" s="310">
        <f t="shared" ca="1" si="279"/>
        <v>23</v>
      </c>
      <c r="Q635" s="304">
        <f t="shared" ca="1" si="280"/>
        <v>0</v>
      </c>
      <c r="R635" s="306">
        <f t="shared" ca="1" si="281"/>
        <v>0</v>
      </c>
      <c r="S635" s="307">
        <f t="shared" ca="1" si="282"/>
        <v>12.409999999999973</v>
      </c>
      <c r="T635" s="304">
        <f t="shared" ca="1" si="262"/>
        <v>121.74209999999975</v>
      </c>
      <c r="U635" s="311">
        <f t="shared" ca="1" si="263"/>
        <v>0</v>
      </c>
      <c r="V635" s="306">
        <f t="shared" ca="1" si="264"/>
        <v>0.99404123840913428</v>
      </c>
      <c r="W635" s="304">
        <f t="shared" ca="1" si="265"/>
        <v>6.1682573143079953</v>
      </c>
      <c r="Y635" s="314" t="str">
        <f t="shared" ca="1" si="283"/>
        <v/>
      </c>
      <c r="Z635" s="315" t="str">
        <f t="shared" ca="1" si="284"/>
        <v/>
      </c>
      <c r="AA635" s="316" t="str">
        <f t="shared" ca="1" si="285"/>
        <v/>
      </c>
      <c r="AC635" s="310" t="e">
        <f t="shared" ca="1" si="286"/>
        <v>#N/A</v>
      </c>
      <c r="AD635" s="323" t="e">
        <f t="shared" ca="1" si="287"/>
        <v>#N/A</v>
      </c>
      <c r="AE635" s="324">
        <f t="shared" ca="1" si="266"/>
        <v>2081.6085577250801</v>
      </c>
      <c r="AG635" s="306">
        <f t="shared" ca="1" si="288"/>
        <v>-6.8407516278129448</v>
      </c>
      <c r="AH635" s="304">
        <f t="shared" ca="1" si="289"/>
        <v>-0.51023896776759758</v>
      </c>
    </row>
    <row r="636" spans="1:34" x14ac:dyDescent="0.25">
      <c r="A636" s="347">
        <f t="shared" ca="1" si="267"/>
        <v>0.1</v>
      </c>
      <c r="B636" s="304">
        <f t="shared" ca="1" si="268"/>
        <v>18.199999999999928</v>
      </c>
      <c r="D636" s="306">
        <f t="shared" ca="1" si="269"/>
        <v>-0.38426950897277062</v>
      </c>
      <c r="E636" s="307">
        <f t="shared" ca="1" si="270"/>
        <v>-10.12525383151023</v>
      </c>
      <c r="F636" s="304">
        <f t="shared" ca="1" si="271"/>
        <v>10.132543027692444</v>
      </c>
      <c r="G636" s="306">
        <f t="shared" ca="1" si="272"/>
        <v>40.263349851967419</v>
      </c>
      <c r="H636" s="307">
        <f t="shared" ca="1" si="273"/>
        <v>32.050960678329567</v>
      </c>
      <c r="I636" s="304">
        <f t="shared" ca="1" si="274"/>
        <v>51.462621597677597</v>
      </c>
      <c r="J636" s="306">
        <f t="shared" ca="1" si="275"/>
        <v>762.62393201875011</v>
      </c>
      <c r="K636" s="307">
        <f t="shared" ca="1" si="276"/>
        <v>2084.8642800620705</v>
      </c>
      <c r="L636" s="304">
        <f t="shared" ca="1" si="261"/>
        <v>2219.967190740997</v>
      </c>
      <c r="M636" s="306">
        <f t="shared" ca="1" si="277"/>
        <v>0.67231743828422186</v>
      </c>
      <c r="N636" s="304">
        <f t="shared" ca="1" si="278"/>
        <v>38.520951706733108</v>
      </c>
      <c r="P636" s="310">
        <f t="shared" ca="1" si="279"/>
        <v>23</v>
      </c>
      <c r="Q636" s="304">
        <f t="shared" ca="1" si="280"/>
        <v>0</v>
      </c>
      <c r="R636" s="306">
        <f t="shared" ca="1" si="281"/>
        <v>0</v>
      </c>
      <c r="S636" s="307">
        <f t="shared" ca="1" si="282"/>
        <v>12.409999999999973</v>
      </c>
      <c r="T636" s="304">
        <f t="shared" ca="1" si="262"/>
        <v>121.74209999999975</v>
      </c>
      <c r="U636" s="311">
        <f t="shared" ca="1" si="263"/>
        <v>0</v>
      </c>
      <c r="V636" s="306">
        <f t="shared" ca="1" si="264"/>
        <v>0.99371411019883737</v>
      </c>
      <c r="W636" s="304">
        <f t="shared" ca="1" si="265"/>
        <v>6.0095978606639644</v>
      </c>
      <c r="Y636" s="314" t="str">
        <f t="shared" ca="1" si="283"/>
        <v/>
      </c>
      <c r="Z636" s="315" t="str">
        <f t="shared" ca="1" si="284"/>
        <v/>
      </c>
      <c r="AA636" s="316" t="str">
        <f t="shared" ca="1" si="285"/>
        <v/>
      </c>
      <c r="AC636" s="310" t="e">
        <f t="shared" ca="1" si="286"/>
        <v>#N/A</v>
      </c>
      <c r="AD636" s="323" t="e">
        <f t="shared" ca="1" si="287"/>
        <v>#N/A</v>
      </c>
      <c r="AE636" s="324">
        <f t="shared" ca="1" si="266"/>
        <v>2084.8642800620705</v>
      </c>
      <c r="AG636" s="306">
        <f t="shared" ca="1" si="288"/>
        <v>-6.7191635284931532</v>
      </c>
      <c r="AH636" s="304">
        <f t="shared" ca="1" si="289"/>
        <v>-0.49703926787332864</v>
      </c>
    </row>
    <row r="637" spans="1:34" x14ac:dyDescent="0.25">
      <c r="A637" s="347">
        <f t="shared" ca="1" si="267"/>
        <v>0.1</v>
      </c>
      <c r="B637" s="304">
        <f t="shared" ca="1" si="268"/>
        <v>18.29999999999993</v>
      </c>
      <c r="D637" s="306">
        <f t="shared" ca="1" si="269"/>
        <v>-0.37887123069486528</v>
      </c>
      <c r="E637" s="307">
        <f t="shared" ca="1" si="270"/>
        <v>-10.111594054190652</v>
      </c>
      <c r="F637" s="304">
        <f t="shared" ca="1" si="271"/>
        <v>10.118689526128964</v>
      </c>
      <c r="G637" s="306">
        <f t="shared" ca="1" si="272"/>
        <v>40.225462728897931</v>
      </c>
      <c r="H637" s="307">
        <f t="shared" ca="1" si="273"/>
        <v>31.039801272910502</v>
      </c>
      <c r="I637" s="304">
        <f t="shared" ca="1" si="274"/>
        <v>50.809025918784677</v>
      </c>
      <c r="J637" s="306">
        <f t="shared" ca="1" si="275"/>
        <v>766.64837264779339</v>
      </c>
      <c r="K637" s="307">
        <f t="shared" ca="1" si="276"/>
        <v>2088.0188181596327</v>
      </c>
      <c r="L637" s="304">
        <f t="shared" ca="1" si="261"/>
        <v>2224.3138969741344</v>
      </c>
      <c r="M637" s="306">
        <f t="shared" ca="1" si="277"/>
        <v>0.65721098002082035</v>
      </c>
      <c r="N637" s="304">
        <f t="shared" ca="1" si="278"/>
        <v>37.655415404849677</v>
      </c>
      <c r="P637" s="310">
        <f t="shared" ca="1" si="279"/>
        <v>23</v>
      </c>
      <c r="Q637" s="304">
        <f t="shared" ca="1" si="280"/>
        <v>0</v>
      </c>
      <c r="R637" s="306">
        <f t="shared" ca="1" si="281"/>
        <v>0</v>
      </c>
      <c r="S637" s="307">
        <f t="shared" ca="1" si="282"/>
        <v>12.409999999999973</v>
      </c>
      <c r="T637" s="304">
        <f t="shared" ca="1" si="262"/>
        <v>121.74209999999975</v>
      </c>
      <c r="U637" s="311">
        <f t="shared" ca="1" si="263"/>
        <v>0</v>
      </c>
      <c r="V637" s="306">
        <f t="shared" ca="1" si="264"/>
        <v>0.99339724075727098</v>
      </c>
      <c r="W637" s="304">
        <f t="shared" ca="1" si="265"/>
        <v>5.8560507255803778</v>
      </c>
      <c r="Y637" s="314" t="str">
        <f t="shared" ca="1" si="283"/>
        <v/>
      </c>
      <c r="Z637" s="315" t="str">
        <f t="shared" ca="1" si="284"/>
        <v/>
      </c>
      <c r="AA637" s="316" t="str">
        <f t="shared" ca="1" si="285"/>
        <v/>
      </c>
      <c r="AC637" s="310" t="e">
        <f t="shared" ca="1" si="286"/>
        <v>#N/A</v>
      </c>
      <c r="AD637" s="323" t="e">
        <f t="shared" ca="1" si="287"/>
        <v>#N/A</v>
      </c>
      <c r="AE637" s="324">
        <f t="shared" ca="1" si="266"/>
        <v>2088.0188181596327</v>
      </c>
      <c r="AG637" s="306">
        <f t="shared" ca="1" si="288"/>
        <v>-6.5939300758770951</v>
      </c>
      <c r="AH637" s="304">
        <f t="shared" ca="1" si="289"/>
        <v>-0.48425446097211744</v>
      </c>
    </row>
    <row r="638" spans="1:34" x14ac:dyDescent="0.25">
      <c r="A638" s="347">
        <f t="shared" ca="1" si="267"/>
        <v>0.1</v>
      </c>
      <c r="B638" s="304">
        <f t="shared" ca="1" si="268"/>
        <v>18.399999999999931</v>
      </c>
      <c r="D638" s="306">
        <f t="shared" ca="1" si="269"/>
        <v>-0.37358826695733049</v>
      </c>
      <c r="E638" s="307">
        <f t="shared" ca="1" si="270"/>
        <v>-10.098277741946669</v>
      </c>
      <c r="F638" s="304">
        <f t="shared" ca="1" si="271"/>
        <v>10.105185873931449</v>
      </c>
      <c r="G638" s="306">
        <f t="shared" ca="1" si="272"/>
        <v>40.188103902202201</v>
      </c>
      <c r="H638" s="307">
        <f t="shared" ca="1" si="273"/>
        <v>30.029973498715837</v>
      </c>
      <c r="I638" s="304">
        <f t="shared" ca="1" si="274"/>
        <v>50.168545958476564</v>
      </c>
      <c r="J638" s="306">
        <f t="shared" ca="1" si="275"/>
        <v>770.66905097934841</v>
      </c>
      <c r="K638" s="307">
        <f t="shared" ca="1" si="276"/>
        <v>2091.0723068982138</v>
      </c>
      <c r="L638" s="304">
        <f t="shared" ca="1" si="261"/>
        <v>2228.5677415806836</v>
      </c>
      <c r="M638" s="306">
        <f t="shared" ca="1" si="277"/>
        <v>0.64172940927219513</v>
      </c>
      <c r="N638" s="304">
        <f t="shared" ca="1" si="278"/>
        <v>36.76838674072026</v>
      </c>
      <c r="P638" s="310">
        <f t="shared" ca="1" si="279"/>
        <v>23</v>
      </c>
      <c r="Q638" s="304">
        <f t="shared" ca="1" si="280"/>
        <v>0</v>
      </c>
      <c r="R638" s="306">
        <f t="shared" ca="1" si="281"/>
        <v>0</v>
      </c>
      <c r="S638" s="307">
        <f t="shared" ca="1" si="282"/>
        <v>12.409999999999973</v>
      </c>
      <c r="T638" s="304">
        <f t="shared" ca="1" si="262"/>
        <v>121.74209999999975</v>
      </c>
      <c r="U638" s="311">
        <f t="shared" ca="1" si="263"/>
        <v>0</v>
      </c>
      <c r="V638" s="306">
        <f t="shared" ca="1" si="264"/>
        <v>0.99309060779268443</v>
      </c>
      <c r="W638" s="304">
        <f t="shared" ca="1" si="265"/>
        <v>5.7075804962631684</v>
      </c>
      <c r="Y638" s="314" t="str">
        <f t="shared" ca="1" si="283"/>
        <v/>
      </c>
      <c r="Z638" s="315" t="str">
        <f t="shared" ca="1" si="284"/>
        <v/>
      </c>
      <c r="AA638" s="316" t="str">
        <f t="shared" ca="1" si="285"/>
        <v/>
      </c>
      <c r="AC638" s="310" t="e">
        <f t="shared" ca="1" si="286"/>
        <v>#N/A</v>
      </c>
      <c r="AD638" s="323" t="e">
        <f t="shared" ca="1" si="287"/>
        <v>#N/A</v>
      </c>
      <c r="AE638" s="324">
        <f t="shared" ca="1" si="266"/>
        <v>2091.0723068982138</v>
      </c>
      <c r="AG638" s="306">
        <f t="shared" ca="1" si="288"/>
        <v>-6.4649201451367375</v>
      </c>
      <c r="AH638" s="304">
        <f t="shared" ca="1" si="289"/>
        <v>-0.4718816056068002</v>
      </c>
    </row>
    <row r="639" spans="1:34" x14ac:dyDescent="0.25">
      <c r="A639" s="347">
        <f t="shared" ca="1" si="267"/>
        <v>0.1</v>
      </c>
      <c r="B639" s="304">
        <f t="shared" ca="1" si="268"/>
        <v>18.499999999999932</v>
      </c>
      <c r="D639" s="306">
        <f t="shared" ca="1" si="269"/>
        <v>-0.36842260259176524</v>
      </c>
      <c r="E639" s="307">
        <f t="shared" ca="1" si="270"/>
        <v>-10.085298407187416</v>
      </c>
      <c r="F639" s="304">
        <f t="shared" ca="1" si="271"/>
        <v>10.092025523952936</v>
      </c>
      <c r="G639" s="306">
        <f t="shared" ca="1" si="272"/>
        <v>40.151261641943023</v>
      </c>
      <c r="H639" s="307">
        <f t="shared" ca="1" si="273"/>
        <v>29.021443657997096</v>
      </c>
      <c r="I639" s="304">
        <f t="shared" ca="1" si="274"/>
        <v>49.541578531916656</v>
      </c>
      <c r="J639" s="306">
        <f t="shared" ca="1" si="275"/>
        <v>774.68601925655571</v>
      </c>
      <c r="K639" s="307">
        <f t="shared" ca="1" si="276"/>
        <v>2094.0248777560496</v>
      </c>
      <c r="L639" s="304">
        <f t="shared" ca="1" si="261"/>
        <v>2232.7289618520217</v>
      </c>
      <c r="M639" s="306">
        <f t="shared" ca="1" si="277"/>
        <v>0.62586648016187518</v>
      </c>
      <c r="N639" s="304">
        <f t="shared" ca="1" si="278"/>
        <v>35.859507851983714</v>
      </c>
      <c r="P639" s="310">
        <f t="shared" ca="1" si="279"/>
        <v>23</v>
      </c>
      <c r="Q639" s="304">
        <f t="shared" ca="1" si="280"/>
        <v>0</v>
      </c>
      <c r="R639" s="306">
        <f t="shared" ca="1" si="281"/>
        <v>0</v>
      </c>
      <c r="S639" s="307">
        <f t="shared" ca="1" si="282"/>
        <v>12.409999999999973</v>
      </c>
      <c r="T639" s="304">
        <f t="shared" ca="1" si="262"/>
        <v>121.74209999999975</v>
      </c>
      <c r="U639" s="311">
        <f t="shared" ca="1" si="263"/>
        <v>0</v>
      </c>
      <c r="V639" s="306">
        <f t="shared" ca="1" si="264"/>
        <v>0.99279418965588795</v>
      </c>
      <c r="W639" s="304">
        <f t="shared" ca="1" si="265"/>
        <v>5.5641528282211015</v>
      </c>
      <c r="Y639" s="314" t="str">
        <f t="shared" ca="1" si="283"/>
        <v/>
      </c>
      <c r="Z639" s="315" t="str">
        <f t="shared" ca="1" si="284"/>
        <v/>
      </c>
      <c r="AA639" s="316" t="str">
        <f t="shared" ca="1" si="285"/>
        <v/>
      </c>
      <c r="AC639" s="310" t="e">
        <f t="shared" ca="1" si="286"/>
        <v>#N/A</v>
      </c>
      <c r="AD639" s="323" t="e">
        <f t="shared" ca="1" si="287"/>
        <v>#N/A</v>
      </c>
      <c r="AE639" s="324">
        <f t="shared" ca="1" si="266"/>
        <v>2094.0248777560496</v>
      </c>
      <c r="AG639" s="306">
        <f t="shared" ca="1" si="288"/>
        <v>-6.3320043198039535</v>
      </c>
      <c r="AH639" s="304">
        <f t="shared" ca="1" si="289"/>
        <v>-0.45991784820815318</v>
      </c>
    </row>
    <row r="640" spans="1:34" x14ac:dyDescent="0.25">
      <c r="A640" s="347">
        <f t="shared" ca="1" si="267"/>
        <v>0.1</v>
      </c>
      <c r="B640" s="304">
        <f t="shared" ca="1" si="268"/>
        <v>18.599999999999934</v>
      </c>
      <c r="D640" s="306">
        <f t="shared" ca="1" si="269"/>
        <v>-0.3633763218414276</v>
      </c>
      <c r="E640" s="307">
        <f t="shared" ca="1" si="270"/>
        <v>-10.072649416723555</v>
      </c>
      <c r="F640" s="304">
        <f t="shared" ca="1" si="271"/>
        <v>10.079201785037165</v>
      </c>
      <c r="G640" s="306">
        <f t="shared" ca="1" si="272"/>
        <v>40.11492400975888</v>
      </c>
      <c r="H640" s="307">
        <f t="shared" ca="1" si="273"/>
        <v>28.014178716324739</v>
      </c>
      <c r="I640" s="304">
        <f t="shared" ca="1" si="274"/>
        <v>48.928532958376259</v>
      </c>
      <c r="J640" s="306">
        <f t="shared" ca="1" si="275"/>
        <v>778.69932853914077</v>
      </c>
      <c r="K640" s="307">
        <f t="shared" ca="1" si="276"/>
        <v>2096.8766588747658</v>
      </c>
      <c r="L640" s="304">
        <f t="shared" ca="1" si="261"/>
        <v>2236.7977930070274</v>
      </c>
      <c r="M640" s="306">
        <f t="shared" ca="1" si="277"/>
        <v>0.6096164084121215</v>
      </c>
      <c r="N640" s="304">
        <f t="shared" ca="1" si="278"/>
        <v>34.928447323938059</v>
      </c>
      <c r="P640" s="310">
        <f t="shared" ca="1" si="279"/>
        <v>23</v>
      </c>
      <c r="Q640" s="304">
        <f t="shared" ca="1" si="280"/>
        <v>0</v>
      </c>
      <c r="R640" s="306">
        <f t="shared" ca="1" si="281"/>
        <v>0</v>
      </c>
      <c r="S640" s="307">
        <f t="shared" ca="1" si="282"/>
        <v>12.409999999999973</v>
      </c>
      <c r="T640" s="304">
        <f t="shared" ca="1" si="262"/>
        <v>121.74209999999975</v>
      </c>
      <c r="U640" s="311">
        <f t="shared" ca="1" si="263"/>
        <v>0</v>
      </c>
      <c r="V640" s="306">
        <f t="shared" ca="1" si="264"/>
        <v>0.99250796533138697</v>
      </c>
      <c r="W640" s="304">
        <f t="shared" ca="1" si="265"/>
        <v>5.4257344230557987</v>
      </c>
      <c r="Y640" s="314" t="str">
        <f t="shared" ca="1" si="283"/>
        <v/>
      </c>
      <c r="Z640" s="315" t="str">
        <f t="shared" ca="1" si="284"/>
        <v/>
      </c>
      <c r="AA640" s="316" t="str">
        <f t="shared" ca="1" si="285"/>
        <v/>
      </c>
      <c r="AC640" s="310" t="e">
        <f t="shared" ca="1" si="286"/>
        <v>#N/A</v>
      </c>
      <c r="AD640" s="323" t="e">
        <f t="shared" ca="1" si="287"/>
        <v>#N/A</v>
      </c>
      <c r="AE640" s="324">
        <f t="shared" ca="1" si="266"/>
        <v>2096.8766588747658</v>
      </c>
      <c r="AG640" s="306">
        <f t="shared" ca="1" si="288"/>
        <v>-6.1950558379809531</v>
      </c>
      <c r="AH640" s="304">
        <f t="shared" ca="1" si="289"/>
        <v>-0.44836042129098413</v>
      </c>
    </row>
    <row r="641" spans="1:34" x14ac:dyDescent="0.25">
      <c r="A641" s="347">
        <f t="shared" ca="1" si="267"/>
        <v>0.1</v>
      </c>
      <c r="B641" s="304">
        <f t="shared" ca="1" si="268"/>
        <v>18.699999999999935</v>
      </c>
      <c r="D641" s="306">
        <f t="shared" ca="1" si="269"/>
        <v>-0.35845160577063173</v>
      </c>
      <c r="E641" s="307">
        <f t="shared" ca="1" si="270"/>
        <v>-10.060323977748761</v>
      </c>
      <c r="F641" s="304">
        <f t="shared" ca="1" si="271"/>
        <v>10.066707807965134</v>
      </c>
      <c r="G641" s="306">
        <f t="shared" ca="1" si="272"/>
        <v>40.079078849181819</v>
      </c>
      <c r="H641" s="307">
        <f t="shared" ca="1" si="273"/>
        <v>27.008146318549862</v>
      </c>
      <c r="I641" s="304">
        <f t="shared" ca="1" si="274"/>
        <v>48.329830632468926</v>
      </c>
      <c r="J641" s="306">
        <f t="shared" ca="1" si="275"/>
        <v>782.70902868208782</v>
      </c>
      <c r="K641" s="307">
        <f t="shared" ca="1" si="276"/>
        <v>2099.6277751265097</v>
      </c>
      <c r="L641" s="304">
        <f t="shared" ca="1" si="261"/>
        <v>2240.7744682727789</v>
      </c>
      <c r="M641" s="306">
        <f t="shared" ca="1" si="277"/>
        <v>0.59297394688178351</v>
      </c>
      <c r="N641" s="304">
        <f t="shared" ca="1" si="278"/>
        <v>33.974904517540857</v>
      </c>
      <c r="P641" s="310">
        <f t="shared" ca="1" si="279"/>
        <v>23</v>
      </c>
      <c r="Q641" s="304">
        <f t="shared" ca="1" si="280"/>
        <v>0</v>
      </c>
      <c r="R641" s="306">
        <f t="shared" ca="1" si="281"/>
        <v>0</v>
      </c>
      <c r="S641" s="307">
        <f t="shared" ca="1" si="282"/>
        <v>12.409999999999973</v>
      </c>
      <c r="T641" s="304">
        <f t="shared" ca="1" si="262"/>
        <v>121.74209999999975</v>
      </c>
      <c r="U641" s="311">
        <f t="shared" ca="1" si="263"/>
        <v>0</v>
      </c>
      <c r="V641" s="306">
        <f t="shared" ca="1" si="264"/>
        <v>0.99223191442845482</v>
      </c>
      <c r="W641" s="304">
        <f t="shared" ca="1" si="265"/>
        <v>5.292293006392379</v>
      </c>
      <c r="Y641" s="314" t="str">
        <f t="shared" ca="1" si="283"/>
        <v/>
      </c>
      <c r="Z641" s="315" t="str">
        <f t="shared" ca="1" si="284"/>
        <v/>
      </c>
      <c r="AA641" s="316" t="str">
        <f t="shared" ca="1" si="285"/>
        <v/>
      </c>
      <c r="AC641" s="310" t="e">
        <f t="shared" ca="1" si="286"/>
        <v>#N/A</v>
      </c>
      <c r="AD641" s="323" t="e">
        <f t="shared" ca="1" si="287"/>
        <v>#N/A</v>
      </c>
      <c r="AE641" s="324">
        <f t="shared" ca="1" si="266"/>
        <v>2099.6277751265097</v>
      </c>
      <c r="AG641" s="306">
        <f t="shared" ca="1" si="288"/>
        <v>-6.0539516489373142</v>
      </c>
      <c r="AH641" s="304">
        <f t="shared" ca="1" si="289"/>
        <v>-0.43720664166444884</v>
      </c>
    </row>
    <row r="642" spans="1:34" x14ac:dyDescent="0.25">
      <c r="A642" s="347">
        <f t="shared" ca="1" si="267"/>
        <v>0.1</v>
      </c>
      <c r="B642" s="304">
        <f t="shared" ca="1" si="268"/>
        <v>18.799999999999937</v>
      </c>
      <c r="D642" s="306">
        <f t="shared" ca="1" si="269"/>
        <v>-0.35365072889352683</v>
      </c>
      <c r="E642" s="307">
        <f t="shared" ca="1" si="270"/>
        <v>-10.048315123647438</v>
      </c>
      <c r="F642" s="304">
        <f t="shared" ca="1" si="271"/>
        <v>10.05453657122837</v>
      </c>
      <c r="G642" s="306">
        <f t="shared" ca="1" si="272"/>
        <v>40.043713776292464</v>
      </c>
      <c r="H642" s="307">
        <f t="shared" ca="1" si="273"/>
        <v>26.003314806185116</v>
      </c>
      <c r="I642" s="304">
        <f t="shared" ca="1" si="274"/>
        <v>47.745904472605822</v>
      </c>
      <c r="J642" s="306">
        <f t="shared" ca="1" si="275"/>
        <v>786.71516831336157</v>
      </c>
      <c r="K642" s="307">
        <f t="shared" ca="1" si="276"/>
        <v>2102.2783481827464</v>
      </c>
      <c r="L642" s="304">
        <f t="shared" ca="1" si="261"/>
        <v>2244.6592189667226</v>
      </c>
      <c r="M642" s="306">
        <f t="shared" ca="1" si="277"/>
        <v>0.57593446610829024</v>
      </c>
      <c r="N642" s="304">
        <f t="shared" ca="1" si="278"/>
        <v>32.99861418412538</v>
      </c>
      <c r="P642" s="310">
        <f t="shared" ca="1" si="279"/>
        <v>23</v>
      </c>
      <c r="Q642" s="304">
        <f t="shared" ca="1" si="280"/>
        <v>0</v>
      </c>
      <c r="R642" s="306">
        <f t="shared" ca="1" si="281"/>
        <v>0</v>
      </c>
      <c r="S642" s="307">
        <f t="shared" ca="1" si="282"/>
        <v>12.409999999999973</v>
      </c>
      <c r="T642" s="304">
        <f t="shared" ca="1" si="262"/>
        <v>121.74209999999975</v>
      </c>
      <c r="U642" s="311">
        <f t="shared" ca="1" si="263"/>
        <v>0</v>
      </c>
      <c r="V642" s="306">
        <f t="shared" ca="1" si="264"/>
        <v>0.9919660171721072</v>
      </c>
      <c r="W642" s="304">
        <f t="shared" ca="1" si="265"/>
        <v>5.1637973059144358</v>
      </c>
      <c r="Y642" s="314" t="str">
        <f t="shared" ca="1" si="283"/>
        <v/>
      </c>
      <c r="Z642" s="315" t="str">
        <f t="shared" ca="1" si="284"/>
        <v/>
      </c>
      <c r="AA642" s="316" t="str">
        <f t="shared" ca="1" si="285"/>
        <v/>
      </c>
      <c r="AC642" s="310" t="e">
        <f t="shared" ca="1" si="286"/>
        <v>#N/A</v>
      </c>
      <c r="AD642" s="323" t="e">
        <f t="shared" ca="1" si="287"/>
        <v>#N/A</v>
      </c>
      <c r="AE642" s="324">
        <f t="shared" ca="1" si="266"/>
        <v>2102.2783481827464</v>
      </c>
      <c r="AG642" s="306">
        <f t="shared" ca="1" si="288"/>
        <v>-5.9085735833495079</v>
      </c>
      <c r="AH642" s="304">
        <f t="shared" ca="1" si="289"/>
        <v>-0.42645390865369787</v>
      </c>
    </row>
    <row r="643" spans="1:34" x14ac:dyDescent="0.25">
      <c r="A643" s="347">
        <f t="shared" ca="1" si="267"/>
        <v>0.1</v>
      </c>
      <c r="B643" s="304">
        <f t="shared" ca="1" si="268"/>
        <v>18.899999999999938</v>
      </c>
      <c r="D643" s="306">
        <f t="shared" ca="1" si="269"/>
        <v>-0.34897605494226575</v>
      </c>
      <c r="E643" s="307">
        <f t="shared" ca="1" si="270"/>
        <v>-10.036615699712069</v>
      </c>
      <c r="F643" s="304">
        <f t="shared" ca="1" si="271"/>
        <v>10.042680866712328</v>
      </c>
      <c r="G643" s="306">
        <f t="shared" ca="1" si="272"/>
        <v>40.008816170798234</v>
      </c>
      <c r="H643" s="307">
        <f t="shared" ca="1" si="273"/>
        <v>24.999653236213909</v>
      </c>
      <c r="I643" s="304">
        <f t="shared" ca="1" si="274"/>
        <v>47.17719823516088</v>
      </c>
      <c r="J643" s="306">
        <f t="shared" ca="1" si="275"/>
        <v>790.7177948107161</v>
      </c>
      <c r="K643" s="307">
        <f t="shared" ca="1" si="276"/>
        <v>2104.8284965848666</v>
      </c>
      <c r="L643" s="304">
        <f t="shared" ca="1" si="261"/>
        <v>2248.452274580457</v>
      </c>
      <c r="M643" s="306">
        <f t="shared" ca="1" si="277"/>
        <v>0.55849403956468169</v>
      </c>
      <c r="N643" s="304">
        <f t="shared" ca="1" si="278"/>
        <v>31.999351350268679</v>
      </c>
      <c r="P643" s="310">
        <f t="shared" ca="1" si="279"/>
        <v>23</v>
      </c>
      <c r="Q643" s="304">
        <f t="shared" ca="1" si="280"/>
        <v>0</v>
      </c>
      <c r="R643" s="306">
        <f t="shared" ca="1" si="281"/>
        <v>0</v>
      </c>
      <c r="S643" s="307">
        <f t="shared" ca="1" si="282"/>
        <v>12.409999999999973</v>
      </c>
      <c r="T643" s="304">
        <f t="shared" ca="1" si="262"/>
        <v>121.74209999999975</v>
      </c>
      <c r="U643" s="311">
        <f t="shared" ca="1" si="263"/>
        <v>0</v>
      </c>
      <c r="V643" s="306">
        <f t="shared" ca="1" si="264"/>
        <v>0.99171025439398297</v>
      </c>
      <c r="W643" s="304">
        <f t="shared" ca="1" si="265"/>
        <v>5.040217029467513</v>
      </c>
      <c r="Y643" s="314" t="str">
        <f t="shared" ca="1" si="283"/>
        <v/>
      </c>
      <c r="Z643" s="315" t="str">
        <f t="shared" ca="1" si="284"/>
        <v/>
      </c>
      <c r="AA643" s="316" t="str">
        <f t="shared" ca="1" si="285"/>
        <v/>
      </c>
      <c r="AC643" s="310" t="e">
        <f t="shared" ca="1" si="286"/>
        <v>#N/A</v>
      </c>
      <c r="AD643" s="323" t="e">
        <f t="shared" ca="1" si="287"/>
        <v>#N/A</v>
      </c>
      <c r="AE643" s="324">
        <f t="shared" ca="1" si="266"/>
        <v>2104.8284965848666</v>
      </c>
      <c r="AG643" s="306">
        <f t="shared" ca="1" si="288"/>
        <v>-5.7588096387399768</v>
      </c>
      <c r="AH643" s="304">
        <f t="shared" ca="1" si="289"/>
        <v>-0.41609970232993126</v>
      </c>
    </row>
    <row r="644" spans="1:34" x14ac:dyDescent="0.25">
      <c r="A644" s="347">
        <f t="shared" ca="1" si="267"/>
        <v>0.1</v>
      </c>
      <c r="B644" s="304">
        <f t="shared" ca="1" si="268"/>
        <v>18.99999999999994</v>
      </c>
      <c r="D644" s="306">
        <f t="shared" ca="1" si="269"/>
        <v>-0.34443003169445086</v>
      </c>
      <c r="E644" s="307">
        <f t="shared" ca="1" si="270"/>
        <v>-10.025218348869423</v>
      </c>
      <c r="F644" s="304">
        <f t="shared" ca="1" si="271"/>
        <v>10.031133285389103</v>
      </c>
      <c r="G644" s="306">
        <f t="shared" ca="1" si="272"/>
        <v>39.974373167628791</v>
      </c>
      <c r="H644" s="307">
        <f t="shared" ca="1" si="273"/>
        <v>23.997131401326968</v>
      </c>
      <c r="I644" s="304">
        <f t="shared" ca="1" si="274"/>
        <v>46.624165683016713</v>
      </c>
      <c r="J644" s="306">
        <f t="shared" ca="1" si="275"/>
        <v>794.71695427763746</v>
      </c>
      <c r="K644" s="307">
        <f t="shared" ca="1" si="276"/>
        <v>2107.2783358167435</v>
      </c>
      <c r="L644" s="304">
        <f t="shared" ref="L644:L707" ca="1" si="290">SQRT(pos_x^2+pos_z^2)</f>
        <v>2252.1538628652588</v>
      </c>
      <c r="M644" s="306">
        <f t="shared" ca="1" si="277"/>
        <v>0.54064953320197662</v>
      </c>
      <c r="N644" s="304">
        <f t="shared" ca="1" si="278"/>
        <v>30.976936448191331</v>
      </c>
      <c r="P644" s="310">
        <f t="shared" ca="1" si="279"/>
        <v>23</v>
      </c>
      <c r="Q644" s="304">
        <f t="shared" ca="1" si="280"/>
        <v>0</v>
      </c>
      <c r="R644" s="306">
        <f t="shared" ca="1" si="281"/>
        <v>0</v>
      </c>
      <c r="S644" s="307">
        <f t="shared" ca="1" si="282"/>
        <v>12.409999999999973</v>
      </c>
      <c r="T644" s="304">
        <f t="shared" ref="T644:T707" ca="1" si="291">m*g</f>
        <v>121.74209999999975</v>
      </c>
      <c r="U644" s="311">
        <f t="shared" ref="U644:U707" ca="1" si="292">IF(pos_xz&lt;L_rampe,Poids*COS(Beta),0)</f>
        <v>0</v>
      </c>
      <c r="V644" s="306">
        <f t="shared" ref="V644:V707" ca="1" si="293">Rho_moyen*(20000-Alt_rampe-pos_z)/(20000+Alt_rampe+pos_z)</f>
        <v>0.99146460752310051</v>
      </c>
      <c r="W644" s="304">
        <f t="shared" ref="W644:W707" ca="1" si="294">1/2*Rho*Sref*Cx*vit_xz^2</f>
        <v>4.9215228431952509</v>
      </c>
      <c r="Y644" s="314" t="str">
        <f t="shared" ca="1" si="283"/>
        <v/>
      </c>
      <c r="Z644" s="315" t="str">
        <f t="shared" ca="1" si="284"/>
        <v/>
      </c>
      <c r="AA644" s="316" t="str">
        <f t="shared" ca="1" si="285"/>
        <v/>
      </c>
      <c r="AC644" s="310">
        <f t="shared" ca="1" si="286"/>
        <v>18.99999999999994</v>
      </c>
      <c r="AD644" s="323">
        <f t="shared" ca="1" si="287"/>
        <v>794.71695427763746</v>
      </c>
      <c r="AE644" s="324">
        <f t="shared" ref="AE644:AE707" ca="1" si="295">IF(t&lt;T_para, pos_z, NA())</f>
        <v>2107.2783358167435</v>
      </c>
      <c r="AG644" s="306">
        <f t="shared" ca="1" si="288"/>
        <v>-5.604555379547083</v>
      </c>
      <c r="AH644" s="304">
        <f t="shared" ca="1" si="289"/>
        <v>-0.40614158174597292</v>
      </c>
    </row>
    <row r="645" spans="1:34" x14ac:dyDescent="0.25">
      <c r="A645" s="347">
        <f t="shared" ref="A645:A708" ca="1" si="296">IF(B644+0.01&lt;=T_ini+ROUNDUP(Temps_fin_propu,0), 0.01, IF(K644&gt;0, 0.1, 0.0001))</f>
        <v>0.1</v>
      </c>
      <c r="B645" s="304">
        <f t="shared" ref="B645:B708" ca="1" si="297">B644+pas</f>
        <v>19.099999999999941</v>
      </c>
      <c r="D645" s="306">
        <f t="shared" ref="D645:D708" ca="1" si="298">IF(AND(L644&lt;L_rampe,Poussee&lt;Poids*SIN(M644)),0,(-W644+Poussee)/m*COS(M644)-U644/m*SIN(M644))</f>
        <v>-0.34001518478127324</v>
      </c>
      <c r="E645" s="307">
        <f t="shared" ref="E645:E708" ca="1" si="299">IF(AND(L644&lt;L_rampe,Poussee&lt;Poids*SIN(M644)),0,(-W644+Poussee)/m*SIN(M644)+U644/m*COS(M644)-Poids/m)</f>
        <v>-10.014115497532059</v>
      </c>
      <c r="F645" s="304">
        <f t="shared" ref="F645:F708" ca="1" si="300">SQRT(acc_x^2+acc_z^2)</f>
        <v>10.019886203135922</v>
      </c>
      <c r="G645" s="306">
        <f t="shared" ref="G645:G708" ca="1" si="301">G644+acc_x*pas</f>
        <v>39.940371649150663</v>
      </c>
      <c r="H645" s="307">
        <f t="shared" ref="H645:H708" ca="1" si="302">H644+acc_z*pas</f>
        <v>22.99571985157376</v>
      </c>
      <c r="I645" s="304">
        <f t="shared" ref="I645:I708" ca="1" si="303">SQRT(vit_x^2+vit_z^2)</f>
        <v>46.087269597626864</v>
      </c>
      <c r="J645" s="306">
        <f t="shared" ref="J645:J708" ca="1" si="304">J644+0.5*(vit_x+G644)*pas*(K644&gt;=0)</f>
        <v>798.71269151847639</v>
      </c>
      <c r="K645" s="307">
        <f t="shared" ref="K645:K708" ca="1" si="305">K644+0.5*(vit_z+H644)*pas</f>
        <v>2109.6279783793884</v>
      </c>
      <c r="L645" s="304">
        <f t="shared" ca="1" si="290"/>
        <v>2255.7642099195104</v>
      </c>
      <c r="M645" s="306">
        <f t="shared" ref="M645:M708" ca="1" si="306">IF(AND(L644&gt;L_rampe,G645&gt;0),ATAN2(G645,H645),$M$4)</f>
        <v>0.52239869868853839</v>
      </c>
      <c r="N645" s="304">
        <f t="shared" ref="N645:N708" ca="1" si="307">DEGREES(Beta)</f>
        <v>29.931240657979622</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12.409999999999973</v>
      </c>
      <c r="T645" s="304">
        <f t="shared" ca="1" si="291"/>
        <v>121.74209999999975</v>
      </c>
      <c r="U645" s="311">
        <f t="shared" ca="1" si="292"/>
        <v>0</v>
      </c>
      <c r="V645" s="306">
        <f t="shared" ca="1" si="293"/>
        <v>0.99122905857648225</v>
      </c>
      <c r="W645" s="304">
        <f t="shared" ca="1" si="294"/>
        <v>4.8076863496728928</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f t="shared" ca="1" si="295"/>
        <v>2109.6279783793884</v>
      </c>
      <c r="AG645" s="306">
        <f t="shared" ref="AG645:AG708" ca="1" si="317">IF(AND(L644&lt;L_rampe,Poussee&lt;Poids*SIN(M644)),0,(-W644+Poussee)/m-Poids*SIN(M644)/m)</f>
        <v>-5.4457154486720301</v>
      </c>
      <c r="AH645" s="304">
        <f t="shared" ref="AH645:AH708" ca="1" si="318">IF(AND(L644&lt;L_rampe,Poussee&lt;Poids*SIN(M644)), g*SIN(M644), (-W644+Poussee)/m)</f>
        <v>-0.39657718317447715</v>
      </c>
    </row>
    <row r="646" spans="1:34" x14ac:dyDescent="0.25">
      <c r="A646" s="347">
        <f t="shared" ca="1" si="296"/>
        <v>0.1</v>
      </c>
      <c r="B646" s="304">
        <f t="shared" ca="1" si="297"/>
        <v>19.199999999999942</v>
      </c>
      <c r="D646" s="306">
        <f t="shared" ca="1" si="298"/>
        <v>-0.33573411040131595</v>
      </c>
      <c r="E646" s="307">
        <f t="shared" ca="1" si="299"/>
        <v>-10.00329934170931</v>
      </c>
      <c r="F646" s="304">
        <f t="shared" ca="1" si="300"/>
        <v>10.008931766813523</v>
      </c>
      <c r="G646" s="306">
        <f t="shared" ca="1" si="301"/>
        <v>39.906798238110532</v>
      </c>
      <c r="H646" s="307">
        <f t="shared" ca="1" si="302"/>
        <v>21.995389917402829</v>
      </c>
      <c r="I646" s="304">
        <f t="shared" ca="1" si="303"/>
        <v>45.566980624525122</v>
      </c>
      <c r="J646" s="306">
        <f t="shared" ca="1" si="304"/>
        <v>802.70505001283948</v>
      </c>
      <c r="K646" s="307">
        <f t="shared" ca="1" si="305"/>
        <v>2111.8775338678374</v>
      </c>
      <c r="L646" s="304">
        <f t="shared" ca="1" si="290"/>
        <v>2259.2835402781593</v>
      </c>
      <c r="M646" s="306">
        <f t="shared" ca="1" si="306"/>
        <v>0.50374026958253637</v>
      </c>
      <c r="N646" s="304">
        <f t="shared" ca="1" si="307"/>
        <v>28.862191417861652</v>
      </c>
      <c r="P646" s="310">
        <f t="shared" ca="1" si="308"/>
        <v>23</v>
      </c>
      <c r="Q646" s="304">
        <f t="shared" ca="1" si="309"/>
        <v>0</v>
      </c>
      <c r="R646" s="306">
        <f t="shared" ca="1" si="310"/>
        <v>0</v>
      </c>
      <c r="S646" s="307">
        <f t="shared" ca="1" si="311"/>
        <v>12.409999999999973</v>
      </c>
      <c r="T646" s="304">
        <f t="shared" ca="1" si="291"/>
        <v>121.74209999999975</v>
      </c>
      <c r="U646" s="311">
        <f t="shared" ca="1" si="292"/>
        <v>0</v>
      </c>
      <c r="V646" s="306">
        <f t="shared" ca="1" si="293"/>
        <v>0.99100359014962658</v>
      </c>
      <c r="W646" s="304">
        <f t="shared" ca="1" si="294"/>
        <v>4.6986800660034271</v>
      </c>
      <c r="Y646" s="314" t="str">
        <f t="shared" ca="1" si="312"/>
        <v/>
      </c>
      <c r="Z646" s="315" t="str">
        <f t="shared" ca="1" si="313"/>
        <v/>
      </c>
      <c r="AA646" s="316" t="str">
        <f t="shared" ca="1" si="314"/>
        <v/>
      </c>
      <c r="AC646" s="310" t="e">
        <f t="shared" ca="1" si="315"/>
        <v>#N/A</v>
      </c>
      <c r="AD646" s="323" t="e">
        <f t="shared" ca="1" si="316"/>
        <v>#N/A</v>
      </c>
      <c r="AE646" s="324">
        <f t="shared" ca="1" si="295"/>
        <v>2111.8775338678374</v>
      </c>
      <c r="AG646" s="306">
        <f t="shared" ca="1" si="317"/>
        <v>-5.2822051842845648</v>
      </c>
      <c r="AH646" s="304">
        <f t="shared" ca="1" si="318"/>
        <v>-0.38740421834592287</v>
      </c>
    </row>
    <row r="647" spans="1:34" x14ac:dyDescent="0.25">
      <c r="A647" s="347">
        <f t="shared" ca="1" si="296"/>
        <v>0.1</v>
      </c>
      <c r="B647" s="304">
        <f t="shared" ca="1" si="297"/>
        <v>19.299999999999944</v>
      </c>
      <c r="D647" s="306">
        <f t="shared" ca="1" si="298"/>
        <v>-0.33158946687088742</v>
      </c>
      <c r="E647" s="307">
        <f t="shared" ca="1" si="299"/>
        <v>-9.9927618335305031</v>
      </c>
      <c r="F647" s="304">
        <f t="shared" ca="1" si="300"/>
        <v>9.998261880757255</v>
      </c>
      <c r="G647" s="306">
        <f t="shared" ca="1" si="301"/>
        <v>39.873639291423444</v>
      </c>
      <c r="H647" s="307">
        <f t="shared" ca="1" si="302"/>
        <v>20.996113734049779</v>
      </c>
      <c r="I647" s="304">
        <f t="shared" ca="1" si="303"/>
        <v>45.063775943386069</v>
      </c>
      <c r="J647" s="306">
        <f t="shared" ca="1" si="304"/>
        <v>806.69407188931621</v>
      </c>
      <c r="K647" s="307">
        <f t="shared" ca="1" si="305"/>
        <v>2114.0271090504102</v>
      </c>
      <c r="L647" s="304">
        <f t="shared" ca="1" si="290"/>
        <v>2262.7120770043634</v>
      </c>
      <c r="M647" s="306">
        <f t="shared" ca="1" si="306"/>
        <v>0.4846740594833015</v>
      </c>
      <c r="N647" s="304">
        <f t="shared" ca="1" si="307"/>
        <v>27.769778047865788</v>
      </c>
      <c r="P647" s="310">
        <f t="shared" ca="1" si="308"/>
        <v>23</v>
      </c>
      <c r="Q647" s="304">
        <f t="shared" ca="1" si="309"/>
        <v>0</v>
      </c>
      <c r="R647" s="306">
        <f t="shared" ca="1" si="310"/>
        <v>0</v>
      </c>
      <c r="S647" s="307">
        <f t="shared" ca="1" si="311"/>
        <v>12.409999999999973</v>
      </c>
      <c r="T647" s="304">
        <f t="shared" ca="1" si="291"/>
        <v>121.74209999999975</v>
      </c>
      <c r="U647" s="311">
        <f t="shared" ca="1" si="292"/>
        <v>0</v>
      </c>
      <c r="V647" s="306">
        <f t="shared" ca="1" si="293"/>
        <v>0.99078818540681857</v>
      </c>
      <c r="W647" s="304">
        <f t="shared" ca="1" si="294"/>
        <v>4.5944774018425267</v>
      </c>
      <c r="Y647" s="314" t="str">
        <f t="shared" ca="1" si="312"/>
        <v/>
      </c>
      <c r="Z647" s="315" t="str">
        <f t="shared" ca="1" si="313"/>
        <v/>
      </c>
      <c r="AA647" s="316" t="str">
        <f t="shared" ca="1" si="314"/>
        <v/>
      </c>
      <c r="AC647" s="310" t="e">
        <f t="shared" ca="1" si="315"/>
        <v>#N/A</v>
      </c>
      <c r="AD647" s="323" t="e">
        <f t="shared" ca="1" si="316"/>
        <v>#N/A</v>
      </c>
      <c r="AE647" s="324">
        <f t="shared" ca="1" si="295"/>
        <v>2114.0271090504102</v>
      </c>
      <c r="AG647" s="306">
        <f t="shared" ca="1" si="317"/>
        <v>-5.1139523321219018</v>
      </c>
      <c r="AH647" s="304">
        <f t="shared" ca="1" si="318"/>
        <v>-0.37862047268359689</v>
      </c>
    </row>
    <row r="648" spans="1:34" x14ac:dyDescent="0.25">
      <c r="A648" s="347">
        <f t="shared" ca="1" si="296"/>
        <v>0.1</v>
      </c>
      <c r="B648" s="304">
        <f t="shared" ca="1" si="297"/>
        <v>19.399999999999945</v>
      </c>
      <c r="D648" s="306">
        <f t="shared" ca="1" si="298"/>
        <v>-0.32758396495031999</v>
      </c>
      <c r="E648" s="307">
        <f t="shared" ca="1" si="299"/>
        <v>-9.9824946683516629</v>
      </c>
      <c r="F648" s="304">
        <f t="shared" ca="1" si="300"/>
        <v>9.9878681938520781</v>
      </c>
      <c r="G648" s="306">
        <f t="shared" ca="1" si="301"/>
        <v>39.840880894928411</v>
      </c>
      <c r="H648" s="307">
        <f t="shared" ca="1" si="302"/>
        <v>19.997864267214613</v>
      </c>
      <c r="I648" s="304">
        <f t="shared" ca="1" si="303"/>
        <v>44.578137755337096</v>
      </c>
      <c r="J648" s="306">
        <f t="shared" ca="1" si="304"/>
        <v>810.67979789863375</v>
      </c>
      <c r="K648" s="307">
        <f t="shared" ca="1" si="305"/>
        <v>2116.0768079504733</v>
      </c>
      <c r="L648" s="304">
        <f t="shared" ca="1" si="290"/>
        <v>2266.0500417834628</v>
      </c>
      <c r="M648" s="306">
        <f t="shared" ca="1" si="306"/>
        <v>0.46520106100565228</v>
      </c>
      <c r="N648" s="304">
        <f t="shared" ca="1" si="307"/>
        <v>26.654057420631812</v>
      </c>
      <c r="P648" s="310">
        <f t="shared" ca="1" si="308"/>
        <v>23</v>
      </c>
      <c r="Q648" s="304">
        <f t="shared" ca="1" si="309"/>
        <v>0</v>
      </c>
      <c r="R648" s="306">
        <f t="shared" ca="1" si="310"/>
        <v>0</v>
      </c>
      <c r="S648" s="307">
        <f t="shared" ca="1" si="311"/>
        <v>12.409999999999973</v>
      </c>
      <c r="T648" s="304">
        <f t="shared" ca="1" si="291"/>
        <v>121.74209999999975</v>
      </c>
      <c r="U648" s="311">
        <f t="shared" ca="1" si="292"/>
        <v>0</v>
      </c>
      <c r="V648" s="306">
        <f t="shared" ca="1" si="293"/>
        <v>0.99058282807125486</v>
      </c>
      <c r="W648" s="304">
        <f t="shared" ca="1" si="294"/>
        <v>4.4950526373194748</v>
      </c>
      <c r="Y648" s="314" t="str">
        <f t="shared" ca="1" si="312"/>
        <v/>
      </c>
      <c r="Z648" s="315" t="str">
        <f t="shared" ca="1" si="313"/>
        <v/>
      </c>
      <c r="AA648" s="316" t="str">
        <f t="shared" ca="1" si="314"/>
        <v/>
      </c>
      <c r="AC648" s="310" t="e">
        <f t="shared" ca="1" si="315"/>
        <v>#N/A</v>
      </c>
      <c r="AD648" s="323" t="e">
        <f t="shared" ca="1" si="316"/>
        <v>#N/A</v>
      </c>
      <c r="AE648" s="324">
        <f t="shared" ca="1" si="295"/>
        <v>2116.0768079504733</v>
      </c>
      <c r="AG648" s="306">
        <f t="shared" ca="1" si="317"/>
        <v>-4.9408988395039088</v>
      </c>
      <c r="AH648" s="304">
        <f t="shared" ca="1" si="318"/>
        <v>-0.37022380353283935</v>
      </c>
    </row>
    <row r="649" spans="1:34" x14ac:dyDescent="0.25">
      <c r="A649" s="347">
        <f t="shared" ca="1" si="296"/>
        <v>0.1</v>
      </c>
      <c r="B649" s="304">
        <f t="shared" ca="1" si="297"/>
        <v>19.499999999999947</v>
      </c>
      <c r="D649" s="306">
        <f t="shared" ca="1" si="298"/>
        <v>-0.32372035689721507</v>
      </c>
      <c r="E649" s="307">
        <f t="shared" ca="1" si="299"/>
        <v>-9.9724892726352561</v>
      </c>
      <c r="F649" s="304">
        <f t="shared" ca="1" si="300"/>
        <v>9.9777420873810385</v>
      </c>
      <c r="G649" s="306">
        <f t="shared" ca="1" si="301"/>
        <v>39.808508859238692</v>
      </c>
      <c r="H649" s="307">
        <f t="shared" ca="1" si="302"/>
        <v>19.000615339951086</v>
      </c>
      <c r="I649" s="304">
        <f t="shared" ca="1" si="303"/>
        <v>44.110551582278703</v>
      </c>
      <c r="J649" s="306">
        <f t="shared" ca="1" si="304"/>
        <v>814.66226738634214</v>
      </c>
      <c r="K649" s="307">
        <f t="shared" ca="1" si="305"/>
        <v>2118.0267319308314</v>
      </c>
      <c r="L649" s="304">
        <f t="shared" ca="1" si="290"/>
        <v>2269.2976550194235</v>
      </c>
      <c r="M649" s="306">
        <f t="shared" ca="1" si="306"/>
        <v>0.44532354421285669</v>
      </c>
      <c r="N649" s="304">
        <f t="shared" ca="1" si="307"/>
        <v>25.515159601204203</v>
      </c>
      <c r="P649" s="310">
        <f t="shared" ca="1" si="308"/>
        <v>23</v>
      </c>
      <c r="Q649" s="304">
        <f t="shared" ca="1" si="309"/>
        <v>0</v>
      </c>
      <c r="R649" s="306">
        <f t="shared" ca="1" si="310"/>
        <v>0</v>
      </c>
      <c r="S649" s="307">
        <f t="shared" ca="1" si="311"/>
        <v>12.409999999999973</v>
      </c>
      <c r="T649" s="304">
        <f t="shared" ca="1" si="291"/>
        <v>121.74209999999975</v>
      </c>
      <c r="U649" s="311">
        <f t="shared" ca="1" si="292"/>
        <v>0</v>
      </c>
      <c r="V649" s="306">
        <f t="shared" ca="1" si="293"/>
        <v>0.99038750241497953</v>
      </c>
      <c r="W649" s="304">
        <f t="shared" ca="1" si="294"/>
        <v>4.4003809008228236</v>
      </c>
      <c r="Y649" s="314" t="str">
        <f t="shared" ca="1" si="312"/>
        <v/>
      </c>
      <c r="Z649" s="315" t="str">
        <f t="shared" ca="1" si="313"/>
        <v/>
      </c>
      <c r="AA649" s="316" t="str">
        <f t="shared" ca="1" si="314"/>
        <v/>
      </c>
      <c r="AC649" s="310" t="e">
        <f t="shared" ca="1" si="315"/>
        <v>#N/A</v>
      </c>
      <c r="AD649" s="323" t="e">
        <f t="shared" ca="1" si="316"/>
        <v>#N/A</v>
      </c>
      <c r="AE649" s="324">
        <f t="shared" ca="1" si="295"/>
        <v>2118.0267319308314</v>
      </c>
      <c r="AG649" s="306">
        <f t="shared" ca="1" si="317"/>
        <v>-4.7630027128577996</v>
      </c>
      <c r="AH649" s="304">
        <f t="shared" ca="1" si="318"/>
        <v>-0.36221213838190847</v>
      </c>
    </row>
    <row r="650" spans="1:34" x14ac:dyDescent="0.25">
      <c r="A650" s="347">
        <f t="shared" ca="1" si="296"/>
        <v>0.1</v>
      </c>
      <c r="B650" s="304">
        <f t="shared" ca="1" si="297"/>
        <v>19.599999999999948</v>
      </c>
      <c r="D650" s="306">
        <f t="shared" ca="1" si="298"/>
        <v>-0.3200014242124094</v>
      </c>
      <c r="E650" s="307">
        <f t="shared" ca="1" si="299"/>
        <v>-9.9627367928096966</v>
      </c>
      <c r="F650" s="304">
        <f t="shared" ca="1" si="300"/>
        <v>9.9678746638539746</v>
      </c>
      <c r="G650" s="306">
        <f t="shared" ca="1" si="301"/>
        <v>39.776508716817453</v>
      </c>
      <c r="H650" s="307">
        <f t="shared" ca="1" si="302"/>
        <v>18.004341660670114</v>
      </c>
      <c r="I650" s="304">
        <f t="shared" ca="1" si="303"/>
        <v>43.661504375515925</v>
      </c>
      <c r="J650" s="306">
        <f t="shared" ca="1" si="304"/>
        <v>818.6415182651449</v>
      </c>
      <c r="K650" s="307">
        <f t="shared" ca="1" si="305"/>
        <v>2119.8769797808623</v>
      </c>
      <c r="L650" s="304">
        <f t="shared" ca="1" si="290"/>
        <v>2272.4551359338852</v>
      </c>
      <c r="M650" s="306">
        <f t="shared" ca="1" si="306"/>
        <v>0.42504515293494738</v>
      </c>
      <c r="N650" s="304">
        <f t="shared" ca="1" si="307"/>
        <v>24.353293365665102</v>
      </c>
      <c r="P650" s="310">
        <f t="shared" ca="1" si="308"/>
        <v>23</v>
      </c>
      <c r="Q650" s="304">
        <f t="shared" ca="1" si="309"/>
        <v>0</v>
      </c>
      <c r="R650" s="306">
        <f t="shared" ca="1" si="310"/>
        <v>0</v>
      </c>
      <c r="S650" s="307">
        <f t="shared" ca="1" si="311"/>
        <v>12.409999999999973</v>
      </c>
      <c r="T650" s="304">
        <f t="shared" ca="1" si="291"/>
        <v>121.74209999999975</v>
      </c>
      <c r="U650" s="311">
        <f t="shared" ca="1" si="292"/>
        <v>0</v>
      </c>
      <c r="V650" s="306">
        <f t="shared" ca="1" si="293"/>
        <v>0.9902021932486097</v>
      </c>
      <c r="W650" s="304">
        <f t="shared" ca="1" si="294"/>
        <v>4.3104381466211521</v>
      </c>
      <c r="Y650" s="314" t="str">
        <f t="shared" ca="1" si="312"/>
        <v/>
      </c>
      <c r="Z650" s="315" t="str">
        <f t="shared" ca="1" si="313"/>
        <v/>
      </c>
      <c r="AA650" s="316" t="str">
        <f t="shared" ca="1" si="314"/>
        <v/>
      </c>
      <c r="AC650" s="310" t="e">
        <f t="shared" ca="1" si="315"/>
        <v>#N/A</v>
      </c>
      <c r="AD650" s="323" t="e">
        <f t="shared" ca="1" si="316"/>
        <v>#N/A</v>
      </c>
      <c r="AE650" s="324">
        <f t="shared" ca="1" si="295"/>
        <v>2119.8769797808623</v>
      </c>
      <c r="AG650" s="306">
        <f t="shared" ca="1" si="317"/>
        <v>-4.5802399157767848</v>
      </c>
      <c r="AH650" s="304">
        <f t="shared" ca="1" si="318"/>
        <v>-0.35458347307194465</v>
      </c>
    </row>
    <row r="651" spans="1:34" x14ac:dyDescent="0.25">
      <c r="A651" s="347">
        <f t="shared" ca="1" si="296"/>
        <v>0.1</v>
      </c>
      <c r="B651" s="304">
        <f t="shared" ca="1" si="297"/>
        <v>19.69999999999995</v>
      </c>
      <c r="D651" s="306">
        <f t="shared" ca="1" si="298"/>
        <v>-0.31642996406264862</v>
      </c>
      <c r="E651" s="307">
        <f t="shared" ca="1" si="299"/>
        <v>-9.9532280853308972</v>
      </c>
      <c r="F651" s="304">
        <f t="shared" ca="1" si="300"/>
        <v>9.9582567370386901</v>
      </c>
      <c r="G651" s="306">
        <f t="shared" ca="1" si="301"/>
        <v>39.744865720411191</v>
      </c>
      <c r="H651" s="307">
        <f t="shared" ca="1" si="302"/>
        <v>17.009018852137025</v>
      </c>
      <c r="I651" s="304">
        <f t="shared" ca="1" si="303"/>
        <v>43.231482434053419</v>
      </c>
      <c r="J651" s="306">
        <f t="shared" ca="1" si="304"/>
        <v>822.61758698700635</v>
      </c>
      <c r="K651" s="307">
        <f t="shared" ca="1" si="305"/>
        <v>2121.6276478065024</v>
      </c>
      <c r="L651" s="304">
        <f t="shared" ca="1" si="290"/>
        <v>2275.5227026679554</v>
      </c>
      <c r="M651" s="306">
        <f t="shared" ca="1" si="306"/>
        <v>0.40437099719730552</v>
      </c>
      <c r="N651" s="304">
        <f t="shared" ca="1" si="307"/>
        <v>23.168751496902047</v>
      </c>
      <c r="P651" s="310">
        <f t="shared" ca="1" si="308"/>
        <v>23</v>
      </c>
      <c r="Q651" s="304">
        <f t="shared" ca="1" si="309"/>
        <v>0</v>
      </c>
      <c r="R651" s="306">
        <f t="shared" ca="1" si="310"/>
        <v>0</v>
      </c>
      <c r="S651" s="307">
        <f t="shared" ca="1" si="311"/>
        <v>12.409999999999973</v>
      </c>
      <c r="T651" s="304">
        <f t="shared" ca="1" si="291"/>
        <v>121.74209999999975</v>
      </c>
      <c r="U651" s="311">
        <f t="shared" ca="1" si="292"/>
        <v>0</v>
      </c>
      <c r="V651" s="306">
        <f t="shared" ca="1" si="293"/>
        <v>0.99002688591084131</v>
      </c>
      <c r="W651" s="304">
        <f t="shared" ca="1" si="294"/>
        <v>4.2252011322914811</v>
      </c>
      <c r="Y651" s="314" t="str">
        <f t="shared" ca="1" si="312"/>
        <v/>
      </c>
      <c r="Z651" s="315" t="str">
        <f t="shared" ca="1" si="313"/>
        <v/>
      </c>
      <c r="AA651" s="316" t="str">
        <f t="shared" ca="1" si="314"/>
        <v/>
      </c>
      <c r="AC651" s="310" t="e">
        <f t="shared" ca="1" si="315"/>
        <v>#N/A</v>
      </c>
      <c r="AD651" s="323" t="e">
        <f t="shared" ca="1" si="316"/>
        <v>#N/A</v>
      </c>
      <c r="AE651" s="324">
        <f t="shared" ca="1" si="295"/>
        <v>2121.6276478065024</v>
      </c>
      <c r="AG651" s="306">
        <f t="shared" ca="1" si="317"/>
        <v>-4.3926062796458298</v>
      </c>
      <c r="AH651" s="304">
        <f t="shared" ca="1" si="318"/>
        <v>-0.34733586999364718</v>
      </c>
    </row>
    <row r="652" spans="1:34" x14ac:dyDescent="0.25">
      <c r="A652" s="347">
        <f t="shared" ca="1" si="296"/>
        <v>0.1</v>
      </c>
      <c r="B652" s="304">
        <f t="shared" ca="1" si="297"/>
        <v>19.799999999999951</v>
      </c>
      <c r="D652" s="306">
        <f t="shared" ca="1" si="298"/>
        <v>-0.31300877438569114</v>
      </c>
      <c r="E652" s="307">
        <f t="shared" ca="1" si="299"/>
        <v>-9.9439537081811391</v>
      </c>
      <c r="F652" s="304">
        <f t="shared" ca="1" si="300"/>
        <v>9.9488788234298973</v>
      </c>
      <c r="G652" s="306">
        <f t="shared" ca="1" si="301"/>
        <v>39.713564842972623</v>
      </c>
      <c r="H652" s="307">
        <f t="shared" ca="1" si="302"/>
        <v>16.01462348131891</v>
      </c>
      <c r="I652" s="304">
        <f t="shared" ca="1" si="303"/>
        <v>42.820969136456988</v>
      </c>
      <c r="J652" s="306">
        <f t="shared" ca="1" si="304"/>
        <v>826.59050851517554</v>
      </c>
      <c r="K652" s="307">
        <f t="shared" ca="1" si="305"/>
        <v>2123.2788299231752</v>
      </c>
      <c r="L652" s="304">
        <f t="shared" ca="1" si="290"/>
        <v>2278.5005723868726</v>
      </c>
      <c r="M652" s="306">
        <f t="shared" ca="1" si="306"/>
        <v>0.38330773979891153</v>
      </c>
      <c r="N652" s="304">
        <f t="shared" ca="1" si="307"/>
        <v>21.961915745176366</v>
      </c>
      <c r="P652" s="310">
        <f t="shared" ca="1" si="308"/>
        <v>23</v>
      </c>
      <c r="Q652" s="304">
        <f t="shared" ca="1" si="309"/>
        <v>0</v>
      </c>
      <c r="R652" s="306">
        <f t="shared" ca="1" si="310"/>
        <v>0</v>
      </c>
      <c r="S652" s="307">
        <f t="shared" ca="1" si="311"/>
        <v>12.409999999999973</v>
      </c>
      <c r="T652" s="304">
        <f t="shared" ca="1" si="291"/>
        <v>121.74209999999975</v>
      </c>
      <c r="U652" s="311">
        <f t="shared" ca="1" si="292"/>
        <v>0</v>
      </c>
      <c r="V652" s="306">
        <f t="shared" ca="1" si="293"/>
        <v>0.98986156625772437</v>
      </c>
      <c r="W652" s="304">
        <f t="shared" ca="1" si="294"/>
        <v>4.1446473959303622</v>
      </c>
      <c r="Y652" s="314" t="str">
        <f t="shared" ca="1" si="312"/>
        <v/>
      </c>
      <c r="Z652" s="315" t="str">
        <f t="shared" ca="1" si="313"/>
        <v/>
      </c>
      <c r="AA652" s="316" t="str">
        <f t="shared" ca="1" si="314"/>
        <v/>
      </c>
      <c r="AC652" s="310" t="e">
        <f t="shared" ca="1" si="315"/>
        <v>#N/A</v>
      </c>
      <c r="AD652" s="323" t="e">
        <f t="shared" ca="1" si="316"/>
        <v>#N/A</v>
      </c>
      <c r="AE652" s="324">
        <f t="shared" ca="1" si="295"/>
        <v>2123.2788299231752</v>
      </c>
      <c r="AG652" s="306">
        <f t="shared" ca="1" si="317"/>
        <v>-4.2001193938117707</v>
      </c>
      <c r="AH652" s="304">
        <f t="shared" ca="1" si="318"/>
        <v>-0.34046745626845204</v>
      </c>
    </row>
    <row r="653" spans="1:34" x14ac:dyDescent="0.25">
      <c r="A653" s="347">
        <f t="shared" ca="1" si="296"/>
        <v>0.1</v>
      </c>
      <c r="B653" s="304">
        <f t="shared" ca="1" si="297"/>
        <v>19.899999999999952</v>
      </c>
      <c r="D653" s="306">
        <f t="shared" ca="1" si="298"/>
        <v>-0.3097406377087768</v>
      </c>
      <c r="E653" s="307">
        <f t="shared" ca="1" si="299"/>
        <v>-9.9349039140500999</v>
      </c>
      <c r="F653" s="304">
        <f t="shared" ca="1" si="300"/>
        <v>9.9397311354008071</v>
      </c>
      <c r="G653" s="306">
        <f t="shared" ca="1" si="301"/>
        <v>39.682590779201746</v>
      </c>
      <c r="H653" s="307">
        <f t="shared" ca="1" si="302"/>
        <v>15.021133089913901</v>
      </c>
      <c r="I653" s="304">
        <f t="shared" ca="1" si="303"/>
        <v>42.430442494210375</v>
      </c>
      <c r="J653" s="306">
        <f t="shared" ca="1" si="304"/>
        <v>830.56031629628421</v>
      </c>
      <c r="K653" s="307">
        <f t="shared" ca="1" si="305"/>
        <v>2124.830617751737</v>
      </c>
      <c r="L653" s="304">
        <f t="shared" ca="1" si="290"/>
        <v>2281.3889613876481</v>
      </c>
      <c r="M653" s="306">
        <f t="shared" ca="1" si="306"/>
        <v>0.36186367492085814</v>
      </c>
      <c r="N653" s="304">
        <f t="shared" ca="1" si="307"/>
        <v>20.733261332059186</v>
      </c>
      <c r="P653" s="310">
        <f t="shared" ca="1" si="308"/>
        <v>23</v>
      </c>
      <c r="Q653" s="304">
        <f t="shared" ca="1" si="309"/>
        <v>0</v>
      </c>
      <c r="R653" s="306">
        <f t="shared" ca="1" si="310"/>
        <v>0</v>
      </c>
      <c r="S653" s="307">
        <f t="shared" ca="1" si="311"/>
        <v>12.409999999999973</v>
      </c>
      <c r="T653" s="304">
        <f t="shared" ca="1" si="291"/>
        <v>121.74209999999975</v>
      </c>
      <c r="U653" s="311">
        <f t="shared" ca="1" si="292"/>
        <v>0</v>
      </c>
      <c r="V653" s="306">
        <f t="shared" ca="1" si="293"/>
        <v>0.98970622065170166</v>
      </c>
      <c r="W653" s="304">
        <f t="shared" ca="1" si="294"/>
        <v>4.0687552331256311</v>
      </c>
      <c r="Y653" s="314" t="str">
        <f t="shared" ca="1" si="312"/>
        <v/>
      </c>
      <c r="Z653" s="315" t="str">
        <f t="shared" ca="1" si="313"/>
        <v/>
      </c>
      <c r="AA653" s="316" t="str">
        <f t="shared" ca="1" si="314"/>
        <v/>
      </c>
      <c r="AC653" s="310" t="e">
        <f t="shared" ca="1" si="315"/>
        <v>#N/A</v>
      </c>
      <c r="AD653" s="323" t="e">
        <f t="shared" ca="1" si="316"/>
        <v>#N/A</v>
      </c>
      <c r="AE653" s="324">
        <f t="shared" ca="1" si="295"/>
        <v>2124.830617751737</v>
      </c>
      <c r="AG653" s="306">
        <f t="shared" ca="1" si="317"/>
        <v>-4.0028204373547043</v>
      </c>
      <c r="AH653" s="304">
        <f t="shared" ca="1" si="318"/>
        <v>-0.33397642191219751</v>
      </c>
    </row>
    <row r="654" spans="1:34" x14ac:dyDescent="0.25">
      <c r="A654" s="347">
        <f t="shared" ca="1" si="296"/>
        <v>0.1</v>
      </c>
      <c r="B654" s="304">
        <f t="shared" ca="1" si="297"/>
        <v>19.999999999999954</v>
      </c>
      <c r="D654" s="306">
        <f t="shared" ca="1" si="298"/>
        <v>-0.30662830373990113</v>
      </c>
      <c r="E654" s="307">
        <f t="shared" ca="1" si="299"/>
        <v>-9.9260686454480602</v>
      </c>
      <c r="F654" s="304">
        <f t="shared" ca="1" si="300"/>
        <v>9.9308035762873441</v>
      </c>
      <c r="G654" s="306">
        <f t="shared" ca="1" si="301"/>
        <v>39.651927948827755</v>
      </c>
      <c r="H654" s="307">
        <f t="shared" ca="1" si="302"/>
        <v>14.028526225369095</v>
      </c>
      <c r="I654" s="304">
        <f t="shared" ca="1" si="303"/>
        <v>42.060372538945678</v>
      </c>
      <c r="J654" s="306">
        <f t="shared" ca="1" si="304"/>
        <v>834.52704223268574</v>
      </c>
      <c r="K654" s="307">
        <f t="shared" ca="1" si="305"/>
        <v>2126.2831007175014</v>
      </c>
      <c r="L654" s="304">
        <f t="shared" ca="1" si="290"/>
        <v>2284.188085209812</v>
      </c>
      <c r="M654" s="306">
        <f t="shared" ca="1" si="306"/>
        <v>0.34004879652506015</v>
      </c>
      <c r="N654" s="304">
        <f t="shared" ca="1" si="307"/>
        <v>19.483360869388839</v>
      </c>
      <c r="P654" s="310">
        <f t="shared" ca="1" si="308"/>
        <v>23</v>
      </c>
      <c r="Q654" s="304">
        <f t="shared" ca="1" si="309"/>
        <v>0</v>
      </c>
      <c r="R654" s="306">
        <f t="shared" ca="1" si="310"/>
        <v>0</v>
      </c>
      <c r="S654" s="307">
        <f t="shared" ca="1" si="311"/>
        <v>12.409999999999973</v>
      </c>
      <c r="T654" s="304">
        <f t="shared" ca="1" si="291"/>
        <v>121.74209999999975</v>
      </c>
      <c r="U654" s="311">
        <f t="shared" ca="1" si="292"/>
        <v>0</v>
      </c>
      <c r="V654" s="306">
        <f t="shared" ca="1" si="293"/>
        <v>0.98956083595039301</v>
      </c>
      <c r="W654" s="304">
        <f t="shared" ca="1" si="294"/>
        <v>3.9975036736699954</v>
      </c>
      <c r="Y654" s="314" t="str">
        <f t="shared" ca="1" si="312"/>
        <v/>
      </c>
      <c r="Z654" s="315" t="str">
        <f t="shared" ca="1" si="313"/>
        <v/>
      </c>
      <c r="AA654" s="316" t="str">
        <f t="shared" ca="1" si="314"/>
        <v/>
      </c>
      <c r="AC654" s="310">
        <f t="shared" ca="1" si="315"/>
        <v>19.999999999999954</v>
      </c>
      <c r="AD654" s="323">
        <f t="shared" ca="1" si="316"/>
        <v>834.52704223268574</v>
      </c>
      <c r="AE654" s="324">
        <f t="shared" ca="1" si="295"/>
        <v>2126.2831007175014</v>
      </c>
      <c r="AG654" s="306">
        <f t="shared" ca="1" si="317"/>
        <v>-3.8007759099739071</v>
      </c>
      <c r="AH654" s="304">
        <f t="shared" ca="1" si="318"/>
        <v>-0.32786101797950362</v>
      </c>
    </row>
    <row r="655" spans="1:34" x14ac:dyDescent="0.25">
      <c r="A655" s="347">
        <f t="shared" ca="1" si="296"/>
        <v>0.1</v>
      </c>
      <c r="B655" s="304">
        <f t="shared" ca="1" si="297"/>
        <v>20.099999999999955</v>
      </c>
      <c r="D655" s="306">
        <f t="shared" ca="1" si="298"/>
        <v>-0.30367447082273091</v>
      </c>
      <c r="E655" s="307">
        <f t="shared" ca="1" si="299"/>
        <v>-9.9174375320012089</v>
      </c>
      <c r="F655" s="304">
        <f t="shared" ca="1" si="300"/>
        <v>9.9220857376549461</v>
      </c>
      <c r="G655" s="306">
        <f t="shared" ca="1" si="301"/>
        <v>39.621560501745485</v>
      </c>
      <c r="H655" s="307">
        <f t="shared" ca="1" si="302"/>
        <v>13.036782472168975</v>
      </c>
      <c r="I655" s="304">
        <f t="shared" ca="1" si="303"/>
        <v>41.711218560719729</v>
      </c>
      <c r="J655" s="306">
        <f t="shared" ca="1" si="304"/>
        <v>838.49071665521444</v>
      </c>
      <c r="K655" s="307">
        <f t="shared" ca="1" si="305"/>
        <v>2127.6363661523783</v>
      </c>
      <c r="L655" s="304">
        <f t="shared" ca="1" si="290"/>
        <v>2286.8981587493295</v>
      </c>
      <c r="M655" s="306">
        <f t="shared" ca="1" si="306"/>
        <v>0.31787485423253459</v>
      </c>
      <c r="N655" s="304">
        <f t="shared" ca="1" si="307"/>
        <v>18.212887560860484</v>
      </c>
      <c r="P655" s="310">
        <f t="shared" ca="1" si="308"/>
        <v>23</v>
      </c>
      <c r="Q655" s="304">
        <f t="shared" ca="1" si="309"/>
        <v>0</v>
      </c>
      <c r="R655" s="306">
        <f t="shared" ca="1" si="310"/>
        <v>0</v>
      </c>
      <c r="S655" s="307">
        <f t="shared" ca="1" si="311"/>
        <v>12.409999999999973</v>
      </c>
      <c r="T655" s="304">
        <f t="shared" ca="1" si="291"/>
        <v>121.74209999999975</v>
      </c>
      <c r="U655" s="311">
        <f t="shared" ca="1" si="292"/>
        <v>0</v>
      </c>
      <c r="V655" s="306">
        <f t="shared" ca="1" si="293"/>
        <v>0.98942539949513242</v>
      </c>
      <c r="W655" s="304">
        <f t="shared" ca="1" si="294"/>
        <v>3.9308724580015695</v>
      </c>
      <c r="Y655" s="314" t="str">
        <f t="shared" ca="1" si="312"/>
        <v/>
      </c>
      <c r="Z655" s="315" t="str">
        <f t="shared" ca="1" si="313"/>
        <v/>
      </c>
      <c r="AA655" s="316" t="str">
        <f t="shared" ca="1" si="314"/>
        <v/>
      </c>
      <c r="AC655" s="310" t="e">
        <f t="shared" ca="1" si="315"/>
        <v>#N/A</v>
      </c>
      <c r="AD655" s="323" t="e">
        <f t="shared" ca="1" si="316"/>
        <v>#N/A</v>
      </c>
      <c r="AE655" s="324">
        <f t="shared" ca="1" si="295"/>
        <v>2127.6363661523783</v>
      </c>
      <c r="AG655" s="306">
        <f t="shared" ca="1" si="317"/>
        <v>-3.5940792156114685</v>
      </c>
      <c r="AH655" s="304">
        <f t="shared" ca="1" si="318"/>
        <v>-0.32211955468734921</v>
      </c>
    </row>
    <row r="656" spans="1:34" x14ac:dyDescent="0.25">
      <c r="A656" s="347">
        <f t="shared" ca="1" si="296"/>
        <v>0.1</v>
      </c>
      <c r="B656" s="304">
        <f t="shared" ca="1" si="297"/>
        <v>20.199999999999957</v>
      </c>
      <c r="D656" s="306">
        <f t="shared" ca="1" si="298"/>
        <v>-0.30088176637974234</v>
      </c>
      <c r="E656" s="307">
        <f t="shared" ca="1" si="299"/>
        <v>-9.9089998901724705</v>
      </c>
      <c r="F656" s="304">
        <f t="shared" ca="1" si="300"/>
        <v>9.9135668989913928</v>
      </c>
      <c r="G656" s="306">
        <f t="shared" ca="1" si="301"/>
        <v>39.59147232510751</v>
      </c>
      <c r="H656" s="307">
        <f t="shared" ca="1" si="302"/>
        <v>12.045882483151727</v>
      </c>
      <c r="I656" s="304">
        <f t="shared" ca="1" si="303"/>
        <v>41.383426219534499</v>
      </c>
      <c r="J656" s="306">
        <f t="shared" ca="1" si="304"/>
        <v>842.45136829655712</v>
      </c>
      <c r="K656" s="307">
        <f t="shared" ca="1" si="305"/>
        <v>2128.8904994001441</v>
      </c>
      <c r="L656" s="304">
        <f t="shared" ca="1" si="290"/>
        <v>2289.5193963757843</v>
      </c>
      <c r="M656" s="306">
        <f t="shared" ca="1" si="306"/>
        <v>0.29535539436203812</v>
      </c>
      <c r="N656" s="304">
        <f t="shared" ca="1" si="307"/>
        <v>16.922617553366813</v>
      </c>
      <c r="P656" s="310">
        <f t="shared" ca="1" si="308"/>
        <v>23</v>
      </c>
      <c r="Q656" s="304">
        <f t="shared" ca="1" si="309"/>
        <v>0</v>
      </c>
      <c r="R656" s="306">
        <f t="shared" ca="1" si="310"/>
        <v>0</v>
      </c>
      <c r="S656" s="307">
        <f t="shared" ca="1" si="311"/>
        <v>12.409999999999973</v>
      </c>
      <c r="T656" s="304">
        <f t="shared" ca="1" si="291"/>
        <v>121.74209999999975</v>
      </c>
      <c r="U656" s="311">
        <f t="shared" ca="1" si="292"/>
        <v>0</v>
      </c>
      <c r="V656" s="306">
        <f t="shared" ca="1" si="293"/>
        <v>0.9892998990992462</v>
      </c>
      <c r="W656" s="304">
        <f t="shared" ca="1" si="294"/>
        <v>3.8688420133604744</v>
      </c>
      <c r="Y656" s="314" t="str">
        <f t="shared" ca="1" si="312"/>
        <v/>
      </c>
      <c r="Z656" s="315" t="str">
        <f t="shared" ca="1" si="313"/>
        <v/>
      </c>
      <c r="AA656" s="316" t="str">
        <f t="shared" ca="1" si="314"/>
        <v/>
      </c>
      <c r="AC656" s="310" t="e">
        <f t="shared" ca="1" si="315"/>
        <v>#N/A</v>
      </c>
      <c r="AD656" s="323" t="e">
        <f t="shared" ca="1" si="316"/>
        <v>#N/A</v>
      </c>
      <c r="AE656" s="324">
        <f t="shared" ca="1" si="295"/>
        <v>2128.8904994001441</v>
      </c>
      <c r="AG656" s="306">
        <f t="shared" ca="1" si="317"/>
        <v>-3.3828520495033221</v>
      </c>
      <c r="AH656" s="304">
        <f t="shared" ca="1" si="318"/>
        <v>-0.31675039951664608</v>
      </c>
    </row>
    <row r="657" spans="1:34" x14ac:dyDescent="0.25">
      <c r="A657" s="347">
        <f t="shared" ca="1" si="296"/>
        <v>0.1</v>
      </c>
      <c r="B657" s="304">
        <f t="shared" ca="1" si="297"/>
        <v>20.299999999999958</v>
      </c>
      <c r="D657" s="306">
        <f t="shared" ca="1" si="298"/>
        <v>-0.29825272650340323</v>
      </c>
      <c r="E657" s="307">
        <f t="shared" ca="1" si="299"/>
        <v>-9.9007447256378303</v>
      </c>
      <c r="F657" s="304">
        <f t="shared" ca="1" si="300"/>
        <v>9.9052360300556206</v>
      </c>
      <c r="G657" s="306">
        <f t="shared" ca="1" si="301"/>
        <v>39.561647052457168</v>
      </c>
      <c r="H657" s="307">
        <f t="shared" ca="1" si="302"/>
        <v>11.055808010587944</v>
      </c>
      <c r="I657" s="304">
        <f t="shared" ca="1" si="303"/>
        <v>41.07742455741564</v>
      </c>
      <c r="J657" s="306">
        <f t="shared" ca="1" si="304"/>
        <v>846.40902426543539</v>
      </c>
      <c r="K657" s="307">
        <f t="shared" ca="1" si="305"/>
        <v>2130.0455839248311</v>
      </c>
      <c r="L657" s="304">
        <f t="shared" ca="1" si="290"/>
        <v>2292.0520120528768</v>
      </c>
      <c r="M657" s="306">
        <f t="shared" ca="1" si="306"/>
        <v>0.27250578387425206</v>
      </c>
      <c r="N657" s="304">
        <f t="shared" ca="1" si="307"/>
        <v>15.613431308898811</v>
      </c>
      <c r="P657" s="310">
        <f t="shared" ca="1" si="308"/>
        <v>23</v>
      </c>
      <c r="Q657" s="304">
        <f t="shared" ca="1" si="309"/>
        <v>0</v>
      </c>
      <c r="R657" s="306">
        <f t="shared" ca="1" si="310"/>
        <v>0</v>
      </c>
      <c r="S657" s="307">
        <f t="shared" ca="1" si="311"/>
        <v>12.409999999999973</v>
      </c>
      <c r="T657" s="304">
        <f t="shared" ca="1" si="291"/>
        <v>121.74209999999975</v>
      </c>
      <c r="U657" s="311">
        <f t="shared" ca="1" si="292"/>
        <v>0</v>
      </c>
      <c r="V657" s="306">
        <f t="shared" ca="1" si="293"/>
        <v>0.98918432303607129</v>
      </c>
      <c r="W657" s="304">
        <f t="shared" ca="1" si="294"/>
        <v>3.8113934296552792</v>
      </c>
      <c r="Y657" s="314" t="str">
        <f t="shared" ca="1" si="312"/>
        <v/>
      </c>
      <c r="Z657" s="315" t="str">
        <f t="shared" ca="1" si="313"/>
        <v/>
      </c>
      <c r="AA657" s="316" t="str">
        <f t="shared" ca="1" si="314"/>
        <v/>
      </c>
      <c r="AC657" s="310" t="e">
        <f t="shared" ca="1" si="315"/>
        <v>#N/A</v>
      </c>
      <c r="AD657" s="323" t="e">
        <f t="shared" ca="1" si="316"/>
        <v>#N/A</v>
      </c>
      <c r="AE657" s="324">
        <f t="shared" ca="1" si="295"/>
        <v>2130.0455839248311</v>
      </c>
      <c r="AG657" s="306">
        <f t="shared" ca="1" si="317"/>
        <v>-3.1672455376856732</v>
      </c>
      <c r="AH657" s="304">
        <f t="shared" ca="1" si="318"/>
        <v>-0.31175197529093335</v>
      </c>
    </row>
    <row r="658" spans="1:34" x14ac:dyDescent="0.25">
      <c r="A658" s="347">
        <f t="shared" ca="1" si="296"/>
        <v>0.1</v>
      </c>
      <c r="B658" s="304">
        <f t="shared" ca="1" si="297"/>
        <v>20.399999999999959</v>
      </c>
      <c r="D658" s="306">
        <f t="shared" ca="1" si="298"/>
        <v>-0.29578977489098279</v>
      </c>
      <c r="E658" s="307">
        <f t="shared" ca="1" si="299"/>
        <v>-9.8926607385267253</v>
      </c>
      <c r="F658" s="304">
        <f t="shared" ca="1" si="300"/>
        <v>9.8970817960911184</v>
      </c>
      <c r="G658" s="306">
        <f t="shared" ca="1" si="301"/>
        <v>39.532068074968073</v>
      </c>
      <c r="H658" s="307">
        <f t="shared" ca="1" si="302"/>
        <v>10.066541936735272</v>
      </c>
      <c r="I658" s="304">
        <f t="shared" ca="1" si="303"/>
        <v>40.793622943395945</v>
      </c>
      <c r="J658" s="306">
        <f t="shared" ca="1" si="304"/>
        <v>850.3637100218067</v>
      </c>
      <c r="K658" s="307">
        <f t="shared" ca="1" si="305"/>
        <v>2131.1017014221975</v>
      </c>
      <c r="L658" s="304">
        <f t="shared" ca="1" si="290"/>
        <v>2294.4962194622672</v>
      </c>
      <c r="M658" s="306">
        <f t="shared" ca="1" si="306"/>
        <v>0.24934321511340363</v>
      </c>
      <c r="N658" s="304">
        <f t="shared" ca="1" si="307"/>
        <v>14.28631387622063</v>
      </c>
      <c r="P658" s="310">
        <f t="shared" ca="1" si="308"/>
        <v>23</v>
      </c>
      <c r="Q658" s="304">
        <f t="shared" ca="1" si="309"/>
        <v>0</v>
      </c>
      <c r="R658" s="306">
        <f t="shared" ca="1" si="310"/>
        <v>0</v>
      </c>
      <c r="S658" s="307">
        <f t="shared" ca="1" si="311"/>
        <v>12.409999999999973</v>
      </c>
      <c r="T658" s="304">
        <f t="shared" ca="1" si="291"/>
        <v>121.74209999999975</v>
      </c>
      <c r="U658" s="311">
        <f t="shared" ca="1" si="292"/>
        <v>0</v>
      </c>
      <c r="V658" s="306">
        <f t="shared" ca="1" si="293"/>
        <v>0.98907866002672351</v>
      </c>
      <c r="W658" s="304">
        <f t="shared" ca="1" si="294"/>
        <v>3.758508435037982</v>
      </c>
      <c r="Y658" s="314" t="str">
        <f t="shared" ca="1" si="312"/>
        <v/>
      </c>
      <c r="Z658" s="315" t="str">
        <f t="shared" ca="1" si="313"/>
        <v/>
      </c>
      <c r="AA658" s="316" t="str">
        <f t="shared" ca="1" si="314"/>
        <v/>
      </c>
      <c r="AC658" s="310" t="e">
        <f t="shared" ca="1" si="315"/>
        <v>#N/A</v>
      </c>
      <c r="AD658" s="323" t="e">
        <f t="shared" ca="1" si="316"/>
        <v>#N/A</v>
      </c>
      <c r="AE658" s="324">
        <f t="shared" ca="1" si="295"/>
        <v>2131.1017014221975</v>
      </c>
      <c r="AG658" s="306">
        <f t="shared" ca="1" si="317"/>
        <v>-2.9474410779031732</v>
      </c>
      <c r="AH658" s="304">
        <f t="shared" ca="1" si="318"/>
        <v>-0.30712275823169116</v>
      </c>
    </row>
    <row r="659" spans="1:34" x14ac:dyDescent="0.25">
      <c r="A659" s="347">
        <f t="shared" ca="1" si="296"/>
        <v>0.1</v>
      </c>
      <c r="B659" s="304">
        <f t="shared" ca="1" si="297"/>
        <v>20.499999999999961</v>
      </c>
      <c r="D659" s="306">
        <f t="shared" ca="1" si="298"/>
        <v>-0.29349520135360496</v>
      </c>
      <c r="E659" s="307">
        <f t="shared" ca="1" si="299"/>
        <v>-9.8847363317055361</v>
      </c>
      <c r="F659" s="304">
        <f t="shared" ca="1" si="300"/>
        <v>9.8890925660829474</v>
      </c>
      <c r="G659" s="306">
        <f t="shared" ca="1" si="301"/>
        <v>39.502718554832711</v>
      </c>
      <c r="H659" s="307">
        <f t="shared" ca="1" si="302"/>
        <v>9.0780683035647183</v>
      </c>
      <c r="I659" s="304">
        <f t="shared" ca="1" si="303"/>
        <v>40.532407988503607</v>
      </c>
      <c r="J659" s="306">
        <f t="shared" ca="1" si="304"/>
        <v>854.31544935329669</v>
      </c>
      <c r="K659" s="307">
        <f t="shared" ca="1" si="305"/>
        <v>2132.0589319342125</v>
      </c>
      <c r="L659" s="304">
        <f t="shared" ca="1" si="290"/>
        <v>2296.8522321307873</v>
      </c>
      <c r="M659" s="306">
        <f t="shared" ca="1" si="306"/>
        <v>0.22588668947378887</v>
      </c>
      <c r="N659" s="304">
        <f t="shared" ca="1" si="307"/>
        <v>12.942353955030301</v>
      </c>
      <c r="P659" s="310">
        <f t="shared" ca="1" si="308"/>
        <v>23</v>
      </c>
      <c r="Q659" s="304">
        <f t="shared" ca="1" si="309"/>
        <v>0</v>
      </c>
      <c r="R659" s="306">
        <f t="shared" ca="1" si="310"/>
        <v>0</v>
      </c>
      <c r="S659" s="307">
        <f t="shared" ca="1" si="311"/>
        <v>12.409999999999973</v>
      </c>
      <c r="T659" s="304">
        <f t="shared" ca="1" si="291"/>
        <v>121.74209999999975</v>
      </c>
      <c r="U659" s="311">
        <f t="shared" ca="1" si="292"/>
        <v>0</v>
      </c>
      <c r="V659" s="306">
        <f t="shared" ca="1" si="293"/>
        <v>0.98898289922760896</v>
      </c>
      <c r="W659" s="304">
        <f t="shared" ca="1" si="294"/>
        <v>3.7101693711914625</v>
      </c>
      <c r="Y659" s="314" t="str">
        <f t="shared" ca="1" si="312"/>
        <v/>
      </c>
      <c r="Z659" s="315" t="str">
        <f t="shared" ca="1" si="313"/>
        <v/>
      </c>
      <c r="AA659" s="316" t="str">
        <f t="shared" ca="1" si="314"/>
        <v/>
      </c>
      <c r="AC659" s="310" t="e">
        <f t="shared" ca="1" si="315"/>
        <v>#N/A</v>
      </c>
      <c r="AD659" s="323" t="e">
        <f t="shared" ca="1" si="316"/>
        <v>#N/A</v>
      </c>
      <c r="AE659" s="324">
        <f t="shared" ca="1" si="295"/>
        <v>2132.0589319342125</v>
      </c>
      <c r="AG659" s="306">
        <f t="shared" ca="1" si="317"/>
        <v>-2.7236508326421855</v>
      </c>
      <c r="AH659" s="304">
        <f t="shared" ca="1" si="318"/>
        <v>-0.30286127599016843</v>
      </c>
    </row>
    <row r="660" spans="1:34" x14ac:dyDescent="0.25">
      <c r="A660" s="347">
        <f t="shared" ca="1" si="296"/>
        <v>0.1</v>
      </c>
      <c r="B660" s="304">
        <f t="shared" ca="1" si="297"/>
        <v>20.599999999999962</v>
      </c>
      <c r="D660" s="306">
        <f t="shared" ca="1" si="298"/>
        <v>-0.29137114016306881</v>
      </c>
      <c r="E660" s="307">
        <f t="shared" ca="1" si="299"/>
        <v>-9.8769596222451455</v>
      </c>
      <c r="F660" s="304">
        <f t="shared" ca="1" si="300"/>
        <v>9.8812564241993481</v>
      </c>
      <c r="G660" s="306">
        <f t="shared" ca="1" si="301"/>
        <v>39.473581440816403</v>
      </c>
      <c r="H660" s="307">
        <f t="shared" ca="1" si="302"/>
        <v>8.0903723413402044</v>
      </c>
      <c r="I660" s="304">
        <f t="shared" ca="1" si="303"/>
        <v>40.29414047211192</v>
      </c>
      <c r="J660" s="306">
        <f t="shared" ca="1" si="304"/>
        <v>858.26426435307917</v>
      </c>
      <c r="K660" s="307">
        <f t="shared" ca="1" si="305"/>
        <v>2132.917353966458</v>
      </c>
      <c r="L660" s="304">
        <f t="shared" ca="1" si="290"/>
        <v>2299.1202635610016</v>
      </c>
      <c r="M660" s="306">
        <f t="shared" ca="1" si="306"/>
        <v>0.20215697844609895</v>
      </c>
      <c r="N660" s="304">
        <f t="shared" ca="1" si="307"/>
        <v>11.582741664078622</v>
      </c>
      <c r="P660" s="310">
        <f t="shared" ca="1" si="308"/>
        <v>23</v>
      </c>
      <c r="Q660" s="304">
        <f t="shared" ca="1" si="309"/>
        <v>0</v>
      </c>
      <c r="R660" s="306">
        <f t="shared" ca="1" si="310"/>
        <v>0</v>
      </c>
      <c r="S660" s="307">
        <f t="shared" ca="1" si="311"/>
        <v>12.409999999999973</v>
      </c>
      <c r="T660" s="304">
        <f t="shared" ca="1" si="291"/>
        <v>121.74209999999975</v>
      </c>
      <c r="U660" s="311">
        <f t="shared" ca="1" si="292"/>
        <v>0</v>
      </c>
      <c r="V660" s="306">
        <f t="shared" ca="1" si="293"/>
        <v>0.98889703021769393</v>
      </c>
      <c r="W660" s="304">
        <f t="shared" ca="1" si="294"/>
        <v>3.6663591683389325</v>
      </c>
      <c r="Y660" s="314" t="str">
        <f t="shared" ca="1" si="312"/>
        <v/>
      </c>
      <c r="Z660" s="315" t="str">
        <f t="shared" ca="1" si="313"/>
        <v/>
      </c>
      <c r="AA660" s="316" t="str">
        <f t="shared" ca="1" si="314"/>
        <v/>
      </c>
      <c r="AC660" s="310" t="e">
        <f t="shared" ca="1" si="315"/>
        <v>#N/A</v>
      </c>
      <c r="AD660" s="323" t="e">
        <f t="shared" ca="1" si="316"/>
        <v>#N/A</v>
      </c>
      <c r="AE660" s="324">
        <f t="shared" ca="1" si="295"/>
        <v>2132.917353966458</v>
      </c>
      <c r="AG660" s="306">
        <f t="shared" ca="1" si="317"/>
        <v>-2.4961178288704438</v>
      </c>
      <c r="AH660" s="304">
        <f t="shared" ca="1" si="318"/>
        <v>-0.29896610565604115</v>
      </c>
    </row>
    <row r="661" spans="1:34" x14ac:dyDescent="0.25">
      <c r="A661" s="347">
        <f t="shared" ca="1" si="296"/>
        <v>0.1</v>
      </c>
      <c r="B661" s="304">
        <f t="shared" ca="1" si="297"/>
        <v>20.699999999999964</v>
      </c>
      <c r="D661" s="306">
        <f t="shared" ca="1" si="298"/>
        <v>-0.28941954852923812</v>
      </c>
      <c r="E661" s="307">
        <f t="shared" ca="1" si="299"/>
        <v>-9.8693184561673188</v>
      </c>
      <c r="F661" s="304">
        <f t="shared" ca="1" si="300"/>
        <v>9.8735611845126954</v>
      </c>
      <c r="G661" s="306">
        <f t="shared" ca="1" si="301"/>
        <v>39.444639485963478</v>
      </c>
      <c r="H661" s="307">
        <f t="shared" ca="1" si="302"/>
        <v>7.103440495723472</v>
      </c>
      <c r="I661" s="304">
        <f t="shared" ca="1" si="303"/>
        <v>40.07915232454291</v>
      </c>
      <c r="J661" s="306">
        <f t="shared" ca="1" si="304"/>
        <v>862.21017539941818</v>
      </c>
      <c r="K661" s="307">
        <f t="shared" ca="1" si="305"/>
        <v>2133.677044608311</v>
      </c>
      <c r="L661" s="304">
        <f t="shared" ca="1" si="290"/>
        <v>2301.3005273650706</v>
      </c>
      <c r="M661" s="306">
        <f t="shared" ca="1" si="306"/>
        <v>0.17817656091623135</v>
      </c>
      <c r="N661" s="304">
        <f t="shared" ca="1" si="307"/>
        <v>10.208764948655674</v>
      </c>
      <c r="P661" s="310">
        <f t="shared" ca="1" si="308"/>
        <v>23</v>
      </c>
      <c r="Q661" s="304">
        <f t="shared" ca="1" si="309"/>
        <v>0</v>
      </c>
      <c r="R661" s="306">
        <f t="shared" ca="1" si="310"/>
        <v>0</v>
      </c>
      <c r="S661" s="307">
        <f t="shared" ca="1" si="311"/>
        <v>12.409999999999973</v>
      </c>
      <c r="T661" s="304">
        <f t="shared" ca="1" si="291"/>
        <v>121.74209999999975</v>
      </c>
      <c r="U661" s="311">
        <f t="shared" ca="1" si="292"/>
        <v>0</v>
      </c>
      <c r="V661" s="306">
        <f t="shared" ca="1" si="293"/>
        <v>0.98882104298554574</v>
      </c>
      <c r="W661" s="304">
        <f t="shared" ca="1" si="294"/>
        <v>3.6270613199905863</v>
      </c>
      <c r="Y661" s="314" t="str">
        <f t="shared" ca="1" si="312"/>
        <v/>
      </c>
      <c r="Z661" s="315" t="str">
        <f t="shared" ca="1" si="313"/>
        <v/>
      </c>
      <c r="AA661" s="316" t="str">
        <f t="shared" ca="1" si="314"/>
        <v/>
      </c>
      <c r="AC661" s="310" t="e">
        <f t="shared" ca="1" si="315"/>
        <v>#N/A</v>
      </c>
      <c r="AD661" s="323" t="e">
        <f t="shared" ca="1" si="316"/>
        <v>#N/A</v>
      </c>
      <c r="AE661" s="324">
        <f t="shared" ca="1" si="295"/>
        <v>2133.677044608311</v>
      </c>
      <c r="AG661" s="306">
        <f t="shared" ca="1" si="317"/>
        <v>-2.2651156251430007</v>
      </c>
      <c r="AH661" s="304">
        <f t="shared" ca="1" si="318"/>
        <v>-0.29543587174366964</v>
      </c>
    </row>
    <row r="662" spans="1:34" x14ac:dyDescent="0.25">
      <c r="A662" s="347">
        <f t="shared" ca="1" si="296"/>
        <v>0.1</v>
      </c>
      <c r="B662" s="304">
        <f t="shared" ca="1" si="297"/>
        <v>20.799999999999965</v>
      </c>
      <c r="D662" s="306">
        <f t="shared" ca="1" si="298"/>
        <v>-0.28764218552485188</v>
      </c>
      <c r="E662" s="307">
        <f t="shared" ca="1" si="299"/>
        <v>-9.8618004265107491</v>
      </c>
      <c r="F662" s="304">
        <f t="shared" ca="1" si="300"/>
        <v>9.8659944090406366</v>
      </c>
      <c r="G662" s="306">
        <f t="shared" ca="1" si="301"/>
        <v>39.415875267410996</v>
      </c>
      <c r="H662" s="307">
        <f t="shared" ca="1" si="302"/>
        <v>6.1172604530723973</v>
      </c>
      <c r="I662" s="304">
        <f t="shared" ca="1" si="303"/>
        <v>39.887743713411837</v>
      </c>
      <c r="J662" s="306">
        <f t="shared" ca="1" si="304"/>
        <v>866.15320113708685</v>
      </c>
      <c r="K662" s="307">
        <f t="shared" ca="1" si="305"/>
        <v>2134.3380796557508</v>
      </c>
      <c r="L662" s="304">
        <f t="shared" ca="1" si="290"/>
        <v>2303.39323740186</v>
      </c>
      <c r="M662" s="306">
        <f t="shared" ca="1" si="306"/>
        <v>0.15396953609071007</v>
      </c>
      <c r="N662" s="304">
        <f t="shared" ca="1" si="307"/>
        <v>8.8218045915848951</v>
      </c>
      <c r="P662" s="310">
        <f t="shared" ca="1" si="308"/>
        <v>23</v>
      </c>
      <c r="Q662" s="304">
        <f t="shared" ca="1" si="309"/>
        <v>0</v>
      </c>
      <c r="R662" s="306">
        <f t="shared" ca="1" si="310"/>
        <v>0</v>
      </c>
      <c r="S662" s="307">
        <f t="shared" ca="1" si="311"/>
        <v>12.409999999999973</v>
      </c>
      <c r="T662" s="304">
        <f t="shared" ca="1" si="291"/>
        <v>121.74209999999975</v>
      </c>
      <c r="U662" s="311">
        <f t="shared" ca="1" si="292"/>
        <v>0</v>
      </c>
      <c r="V662" s="306">
        <f t="shared" ca="1" si="293"/>
        <v>0.98875492791614961</v>
      </c>
      <c r="W662" s="304">
        <f t="shared" ca="1" si="294"/>
        <v>3.5922598574484996</v>
      </c>
      <c r="Y662" s="314" t="str">
        <f t="shared" ca="1" si="312"/>
        <v/>
      </c>
      <c r="Z662" s="315" t="str">
        <f t="shared" ca="1" si="313"/>
        <v/>
      </c>
      <c r="AA662" s="316" t="str">
        <f t="shared" ca="1" si="314"/>
        <v/>
      </c>
      <c r="AC662" s="310" t="e">
        <f t="shared" ca="1" si="315"/>
        <v>#N/A</v>
      </c>
      <c r="AD662" s="323" t="e">
        <f t="shared" ca="1" si="316"/>
        <v>#N/A</v>
      </c>
      <c r="AE662" s="324">
        <f t="shared" ca="1" si="295"/>
        <v>2134.3380796557508</v>
      </c>
      <c r="AG662" s="306">
        <f t="shared" ca="1" si="317"/>
        <v>-2.0309475150639975</v>
      </c>
      <c r="AH662" s="304">
        <f t="shared" ca="1" si="318"/>
        <v>-0.2922692441571792</v>
      </c>
    </row>
    <row r="663" spans="1:34" x14ac:dyDescent="0.25">
      <c r="A663" s="347">
        <f t="shared" ca="1" si="296"/>
        <v>0.1</v>
      </c>
      <c r="B663" s="304">
        <f t="shared" ca="1" si="297"/>
        <v>20.899999999999967</v>
      </c>
      <c r="D663" s="306">
        <f t="shared" ca="1" si="298"/>
        <v>-0.286040591791902</v>
      </c>
      <c r="E663" s="307">
        <f t="shared" ca="1" si="299"/>
        <v>-9.8543928946971473</v>
      </c>
      <c r="F663" s="304">
        <f t="shared" ca="1" si="300"/>
        <v>9.8585434290878027</v>
      </c>
      <c r="G663" s="306">
        <f t="shared" ca="1" si="301"/>
        <v>39.387271208231809</v>
      </c>
      <c r="H663" s="307">
        <f t="shared" ca="1" si="302"/>
        <v>5.131821163602682</v>
      </c>
      <c r="I663" s="304">
        <f t="shared" ca="1" si="303"/>
        <v>39.720180282647341</v>
      </c>
      <c r="J663" s="306">
        <f t="shared" ca="1" si="304"/>
        <v>870.09335846086901</v>
      </c>
      <c r="K663" s="307">
        <f t="shared" ca="1" si="305"/>
        <v>2134.9005337365847</v>
      </c>
      <c r="L663" s="304">
        <f t="shared" ca="1" si="290"/>
        <v>2305.3986079171796</v>
      </c>
      <c r="M663" s="306">
        <f t="shared" ca="1" si="306"/>
        <v>0.12956151199578628</v>
      </c>
      <c r="N663" s="304">
        <f t="shared" ca="1" si="307"/>
        <v>7.4233278246921408</v>
      </c>
      <c r="P663" s="310">
        <f t="shared" ca="1" si="308"/>
        <v>23</v>
      </c>
      <c r="Q663" s="304">
        <f t="shared" ca="1" si="309"/>
        <v>0</v>
      </c>
      <c r="R663" s="306">
        <f t="shared" ca="1" si="310"/>
        <v>0</v>
      </c>
      <c r="S663" s="307">
        <f t="shared" ca="1" si="311"/>
        <v>12.409999999999973</v>
      </c>
      <c r="T663" s="304">
        <f t="shared" ca="1" si="291"/>
        <v>121.74209999999975</v>
      </c>
      <c r="U663" s="311">
        <f t="shared" ca="1" si="292"/>
        <v>0</v>
      </c>
      <c r="V663" s="306">
        <f t="shared" ca="1" si="293"/>
        <v>0.98869867577752923</v>
      </c>
      <c r="W663" s="304">
        <f t="shared" ca="1" si="294"/>
        <v>3.5619393240966875</v>
      </c>
      <c r="Y663" s="314" t="str">
        <f t="shared" ca="1" si="312"/>
        <v/>
      </c>
      <c r="Z663" s="315" t="str">
        <f t="shared" ca="1" si="313"/>
        <v/>
      </c>
      <c r="AA663" s="316" t="str">
        <f t="shared" ca="1" si="314"/>
        <v/>
      </c>
      <c r="AC663" s="310" t="e">
        <f t="shared" ca="1" si="315"/>
        <v>#N/A</v>
      </c>
      <c r="AD663" s="323" t="e">
        <f t="shared" ca="1" si="316"/>
        <v>#N/A</v>
      </c>
      <c r="AE663" s="324">
        <f t="shared" ca="1" si="295"/>
        <v>2134.9005337365847</v>
      </c>
      <c r="AG663" s="306">
        <f t="shared" ca="1" si="317"/>
        <v>-1.7939452465744361</v>
      </c>
      <c r="AH663" s="304">
        <f t="shared" ca="1" si="318"/>
        <v>-0.28946493613606022</v>
      </c>
    </row>
    <row r="664" spans="1:34" x14ac:dyDescent="0.25">
      <c r="A664" s="347">
        <f t="shared" ca="1" si="296"/>
        <v>0.1</v>
      </c>
      <c r="B664" s="304">
        <f t="shared" ca="1" si="297"/>
        <v>20.999999999999968</v>
      </c>
      <c r="D664" s="306">
        <f t="shared" ca="1" si="298"/>
        <v>-0.28461607037284742</v>
      </c>
      <c r="E664" s="307">
        <f t="shared" ca="1" si="299"/>
        <v>-9.8470830151121405</v>
      </c>
      <c r="F664" s="304">
        <f t="shared" ca="1" si="300"/>
        <v>9.8511953698028183</v>
      </c>
      <c r="G664" s="306">
        <f t="shared" ca="1" si="301"/>
        <v>39.358809601194523</v>
      </c>
      <c r="H664" s="307">
        <f t="shared" ca="1" si="302"/>
        <v>4.1471128620914683</v>
      </c>
      <c r="I664" s="304">
        <f t="shared" ca="1" si="303"/>
        <v>39.576690593252067</v>
      </c>
      <c r="J664" s="306">
        <f t="shared" ca="1" si="304"/>
        <v>874.03066250134032</v>
      </c>
      <c r="K664" s="307">
        <f t="shared" ca="1" si="305"/>
        <v>2135.3644804378696</v>
      </c>
      <c r="L664" s="304">
        <f t="shared" ca="1" si="290"/>
        <v>2307.3168536870321</v>
      </c>
      <c r="M664" s="306">
        <f t="shared" ca="1" si="306"/>
        <v>0.10497947012406766</v>
      </c>
      <c r="N664" s="304">
        <f t="shared" ca="1" si="307"/>
        <v>6.014880573628794</v>
      </c>
      <c r="P664" s="310">
        <f t="shared" ca="1" si="308"/>
        <v>23</v>
      </c>
      <c r="Q664" s="304">
        <f t="shared" ca="1" si="309"/>
        <v>0</v>
      </c>
      <c r="R664" s="306">
        <f t="shared" ca="1" si="310"/>
        <v>0</v>
      </c>
      <c r="S664" s="307">
        <f t="shared" ca="1" si="311"/>
        <v>12.409999999999973</v>
      </c>
      <c r="T664" s="304">
        <f t="shared" ca="1" si="291"/>
        <v>121.74209999999975</v>
      </c>
      <c r="U664" s="311">
        <f t="shared" ca="1" si="292"/>
        <v>0</v>
      </c>
      <c r="V664" s="306">
        <f t="shared" ca="1" si="293"/>
        <v>0.98865227770718456</v>
      </c>
      <c r="W664" s="304">
        <f t="shared" ca="1" si="294"/>
        <v>3.5360847495089471</v>
      </c>
      <c r="Y664" s="314" t="str">
        <f t="shared" ca="1" si="312"/>
        <v/>
      </c>
      <c r="Z664" s="315" t="str">
        <f t="shared" ca="1" si="313"/>
        <v>Para</v>
      </c>
      <c r="AA664" s="316" t="str">
        <f t="shared" ca="1" si="314"/>
        <v/>
      </c>
      <c r="AC664" s="310">
        <f t="shared" ca="1" si="315"/>
        <v>20.999999999999968</v>
      </c>
      <c r="AD664" s="323">
        <f t="shared" ca="1" si="316"/>
        <v>874.03066250134032</v>
      </c>
      <c r="AE664" s="324" t="e">
        <f t="shared" ca="1" si="295"/>
        <v>#N/A</v>
      </c>
      <c r="AG664" s="306">
        <f t="shared" ca="1" si="317"/>
        <v>-1.5544672489232296</v>
      </c>
      <c r="AH664" s="304">
        <f t="shared" ca="1" si="318"/>
        <v>-0.28702170218345652</v>
      </c>
    </row>
    <row r="665" spans="1:34" x14ac:dyDescent="0.25">
      <c r="A665" s="347">
        <f t="shared" ca="1" si="296"/>
        <v>0.1</v>
      </c>
      <c r="B665" s="304">
        <f t="shared" ca="1" si="297"/>
        <v>21.099999999999969</v>
      </c>
      <c r="D665" s="306">
        <f t="shared" ca="1" si="298"/>
        <v>-0.28336966900969612</v>
      </c>
      <c r="E665" s="307">
        <f t="shared" ca="1" si="299"/>
        <v>-9.8398577627469983</v>
      </c>
      <c r="F665" s="304">
        <f t="shared" ca="1" si="300"/>
        <v>9.8439371777966471</v>
      </c>
      <c r="G665" s="306">
        <f t="shared" ca="1" si="301"/>
        <v>39.33047263429355</v>
      </c>
      <c r="H665" s="307">
        <f t="shared" ca="1" si="302"/>
        <v>3.1631270858167686</v>
      </c>
      <c r="I665" s="304">
        <f t="shared" ca="1" si="303"/>
        <v>39.457463813554227</v>
      </c>
      <c r="J665" s="306">
        <f t="shared" ca="1" si="304"/>
        <v>877.96512661311476</v>
      </c>
      <c r="K665" s="307">
        <f t="shared" ca="1" si="305"/>
        <v>2135.7299924352651</v>
      </c>
      <c r="L665" s="304">
        <f t="shared" ca="1" si="290"/>
        <v>2309.1481901637062</v>
      </c>
      <c r="M665" s="306">
        <f t="shared" ca="1" si="306"/>
        <v>8.025160746046317E-2</v>
      </c>
      <c r="N665" s="304">
        <f t="shared" ca="1" si="307"/>
        <v>4.5980784066251301</v>
      </c>
      <c r="P665" s="310">
        <f t="shared" ca="1" si="308"/>
        <v>23</v>
      </c>
      <c r="Q665" s="304">
        <f t="shared" ca="1" si="309"/>
        <v>0</v>
      </c>
      <c r="R665" s="306">
        <f t="shared" ca="1" si="310"/>
        <v>0</v>
      </c>
      <c r="S665" s="307">
        <f t="shared" ca="1" si="311"/>
        <v>12.409999999999973</v>
      </c>
      <c r="T665" s="304">
        <f t="shared" ca="1" si="291"/>
        <v>121.74209999999975</v>
      </c>
      <c r="U665" s="311">
        <f t="shared" ca="1" si="292"/>
        <v>0</v>
      </c>
      <c r="V665" s="306">
        <f t="shared" ca="1" si="293"/>
        <v>0.98861572519837448</v>
      </c>
      <c r="W665" s="304">
        <f t="shared" ca="1" si="294"/>
        <v>3.5146816234126228</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-1.3128963730788581</v>
      </c>
      <c r="AH665" s="304">
        <f t="shared" ca="1" si="318"/>
        <v>-0.28493833597977075</v>
      </c>
    </row>
    <row r="666" spans="1:34" x14ac:dyDescent="0.25">
      <c r="A666" s="347">
        <f t="shared" ca="1" si="296"/>
        <v>0.1</v>
      </c>
      <c r="B666" s="304">
        <f t="shared" ca="1" si="297"/>
        <v>21.199999999999971</v>
      </c>
      <c r="D666" s="306">
        <f t="shared" ca="1" si="298"/>
        <v>-0.28230216424354476</v>
      </c>
      <c r="E666" s="307">
        <f t="shared" ca="1" si="299"/>
        <v>-9.8327039636773872</v>
      </c>
      <c r="F666" s="304">
        <f t="shared" ca="1" si="300"/>
        <v>9.8367556515984269</v>
      </c>
      <c r="G666" s="306">
        <f t="shared" ca="1" si="301"/>
        <v>39.302242417869195</v>
      </c>
      <c r="H666" s="307">
        <f t="shared" ca="1" si="302"/>
        <v>2.1798566894490299</v>
      </c>
      <c r="I666" s="304">
        <f t="shared" ca="1" si="303"/>
        <v>39.362647703876476</v>
      </c>
      <c r="J666" s="306">
        <f t="shared" ca="1" si="304"/>
        <v>881.89676236572291</v>
      </c>
      <c r="K666" s="307">
        <f t="shared" ca="1" si="305"/>
        <v>2135.9971416240282</v>
      </c>
      <c r="L666" s="304">
        <f t="shared" ca="1" si="290"/>
        <v>2310.8928336245199</v>
      </c>
      <c r="M666" s="306">
        <f t="shared" ca="1" si="306"/>
        <v>5.5407157781594302E-2</v>
      </c>
      <c r="N666" s="304">
        <f t="shared" ca="1" si="307"/>
        <v>3.1745962957007907</v>
      </c>
      <c r="P666" s="310">
        <f t="shared" ca="1" si="308"/>
        <v>23</v>
      </c>
      <c r="Q666" s="304">
        <f t="shared" ca="1" si="309"/>
        <v>0</v>
      </c>
      <c r="R666" s="306">
        <f t="shared" ca="1" si="310"/>
        <v>0</v>
      </c>
      <c r="S666" s="307">
        <f t="shared" ca="1" si="311"/>
        <v>12.409999999999973</v>
      </c>
      <c r="T666" s="304">
        <f t="shared" ca="1" si="291"/>
        <v>121.74209999999975</v>
      </c>
      <c r="U666" s="311">
        <f t="shared" ca="1" si="292"/>
        <v>0</v>
      </c>
      <c r="V666" s="306">
        <f t="shared" ca="1" si="293"/>
        <v>0.98858901008626832</v>
      </c>
      <c r="W666" s="304">
        <f t="shared" ca="1" si="294"/>
        <v>3.4977158695516546</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-1.0696371662187352</v>
      </c>
      <c r="AH666" s="304">
        <f t="shared" ca="1" si="318"/>
        <v>-0.28321366828465999</v>
      </c>
    </row>
    <row r="667" spans="1:34" x14ac:dyDescent="0.25">
      <c r="A667" s="347">
        <f t="shared" ca="1" si="296"/>
        <v>0.1</v>
      </c>
      <c r="B667" s="304">
        <f t="shared" ca="1" si="297"/>
        <v>21.299999999999972</v>
      </c>
      <c r="D667" s="306">
        <f t="shared" ca="1" si="298"/>
        <v>-0.28141404762610606</v>
      </c>
      <c r="E667" s="307">
        <f t="shared" ca="1" si="299"/>
        <v>-9.8256083280872488</v>
      </c>
      <c r="F667" s="304">
        <f t="shared" ca="1" si="300"/>
        <v>9.8296374746568755</v>
      </c>
      <c r="G667" s="306">
        <f t="shared" ca="1" si="301"/>
        <v>39.274101013106588</v>
      </c>
      <c r="H667" s="307">
        <f t="shared" ca="1" si="302"/>
        <v>1.1972958566403049</v>
      </c>
      <c r="I667" s="304">
        <f t="shared" ca="1" si="303"/>
        <v>39.29234693621683</v>
      </c>
      <c r="J667" s="306">
        <f t="shared" ca="1" si="304"/>
        <v>885.82557953727166</v>
      </c>
      <c r="K667" s="307">
        <f t="shared" ca="1" si="305"/>
        <v>2136.1659992513328</v>
      </c>
      <c r="L667" s="304">
        <f t="shared" ca="1" si="290"/>
        <v>2312.5510013229955</v>
      </c>
      <c r="M667" s="306">
        <f t="shared" ca="1" si="306"/>
        <v>3.0476194760226148E-2</v>
      </c>
      <c r="N667" s="304">
        <f t="shared" ca="1" si="307"/>
        <v>1.7461573353796722</v>
      </c>
      <c r="P667" s="310">
        <f t="shared" ca="1" si="308"/>
        <v>23</v>
      </c>
      <c r="Q667" s="304">
        <f t="shared" ca="1" si="309"/>
        <v>0</v>
      </c>
      <c r="R667" s="306">
        <f t="shared" ca="1" si="310"/>
        <v>0</v>
      </c>
      <c r="S667" s="307">
        <f t="shared" ca="1" si="311"/>
        <v>12.409999999999973</v>
      </c>
      <c r="T667" s="304">
        <f t="shared" ca="1" si="291"/>
        <v>121.74209999999975</v>
      </c>
      <c r="U667" s="311">
        <f t="shared" ca="1" si="292"/>
        <v>0</v>
      </c>
      <c r="V667" s="306">
        <f t="shared" ca="1" si="293"/>
        <v>0.9885721245339969</v>
      </c>
      <c r="W667" s="304">
        <f t="shared" ca="1" si="294"/>
        <v>3.4851738194969153</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-0.8251127161418963</v>
      </c>
      <c r="AH667" s="304">
        <f t="shared" ca="1" si="318"/>
        <v>-0.28184656483091558</v>
      </c>
    </row>
    <row r="668" spans="1:34" x14ac:dyDescent="0.25">
      <c r="A668" s="347">
        <f t="shared" ca="1" si="296"/>
        <v>0.1</v>
      </c>
      <c r="B668" s="304">
        <f t="shared" ca="1" si="297"/>
        <v>21.399999999999974</v>
      </c>
      <c r="D668" s="306">
        <f t="shared" ca="1" si="298"/>
        <v>-0.28070551432312796</v>
      </c>
      <c r="E668" s="307">
        <f t="shared" ca="1" si="299"/>
        <v>-9.8185574854819215</v>
      </c>
      <c r="F668" s="304">
        <f t="shared" ca="1" si="300"/>
        <v>9.8225692505313749</v>
      </c>
      <c r="G668" s="306">
        <f t="shared" ca="1" si="301"/>
        <v>39.246030461674273</v>
      </c>
      <c r="H668" s="307">
        <f t="shared" ca="1" si="302"/>
        <v>0.21544010809211267</v>
      </c>
      <c r="I668" s="304">
        <f t="shared" ca="1" si="303"/>
        <v>39.246621783777002</v>
      </c>
      <c r="J668" s="306">
        <f t="shared" ca="1" si="304"/>
        <v>889.75158611101074</v>
      </c>
      <c r="K668" s="307">
        <f t="shared" ca="1" si="305"/>
        <v>2136.2366360495694</v>
      </c>
      <c r="L668" s="304">
        <f t="shared" ca="1" si="290"/>
        <v>2314.1229116422141</v>
      </c>
      <c r="M668" s="306">
        <f t="shared" ca="1" si="306"/>
        <v>5.48941998843268E-3</v>
      </c>
      <c r="N668" s="304">
        <f t="shared" ca="1" si="307"/>
        <v>0.31452059731194576</v>
      </c>
      <c r="P668" s="310">
        <f t="shared" ca="1" si="308"/>
        <v>23</v>
      </c>
      <c r="Q668" s="304">
        <f t="shared" ca="1" si="309"/>
        <v>0</v>
      </c>
      <c r="R668" s="306">
        <f t="shared" ca="1" si="310"/>
        <v>0</v>
      </c>
      <c r="S668" s="307">
        <f t="shared" ca="1" si="311"/>
        <v>12.409999999999973</v>
      </c>
      <c r="T668" s="304">
        <f t="shared" ca="1" si="291"/>
        <v>121.74209999999975</v>
      </c>
      <c r="U668" s="311">
        <f t="shared" ca="1" si="292"/>
        <v>0</v>
      </c>
      <c r="V668" s="306">
        <f t="shared" ca="1" si="293"/>
        <v>0.98856506101863473</v>
      </c>
      <c r="W668" s="304">
        <f t="shared" ca="1" si="294"/>
        <v>3.4770421864560719</v>
      </c>
      <c r="Y668" s="314" t="str">
        <f t="shared" ca="1" si="312"/>
        <v>Apogée</v>
      </c>
      <c r="Z668" s="315" t="str">
        <f t="shared" ca="1" si="313"/>
        <v/>
      </c>
      <c r="AA668" s="316" t="str">
        <f t="shared" ca="1" si="314"/>
        <v/>
      </c>
      <c r="AC668" s="310" t="e">
        <f t="shared" ca="1" si="315"/>
        <v>#N/A</v>
      </c>
      <c r="AD668" s="323" t="e">
        <f t="shared" ca="1" si="316"/>
        <v>#N/A</v>
      </c>
      <c r="AE668" s="324" t="e">
        <f t="shared" ca="1" si="295"/>
        <v>#N/A</v>
      </c>
      <c r="AG668" s="306">
        <f t="shared" ca="1" si="317"/>
        <v>-0.57976111625487081</v>
      </c>
      <c r="AH668" s="304">
        <f t="shared" ca="1" si="318"/>
        <v>-0.28083592421409531</v>
      </c>
    </row>
    <row r="669" spans="1:34" x14ac:dyDescent="0.25">
      <c r="A669" s="347">
        <f t="shared" ca="1" si="296"/>
        <v>0.1</v>
      </c>
      <c r="B669" s="304">
        <f t="shared" ca="1" si="297"/>
        <v>21.499999999999975</v>
      </c>
      <c r="D669" s="306">
        <f t="shared" ca="1" si="298"/>
        <v>-0.28017645434804717</v>
      </c>
      <c r="E669" s="307">
        <f t="shared" ca="1" si="299"/>
        <v>-9.8115380216775954</v>
      </c>
      <c r="F669" s="304">
        <f t="shared" ca="1" si="300"/>
        <v>9.8155375398597577</v>
      </c>
      <c r="G669" s="306">
        <f t="shared" ca="1" si="301"/>
        <v>39.218012816239465</v>
      </c>
      <c r="H669" s="307">
        <f t="shared" ca="1" si="302"/>
        <v>-0.76571369407564693</v>
      </c>
      <c r="I669" s="304">
        <f t="shared" ca="1" si="303"/>
        <v>39.225487208140805</v>
      </c>
      <c r="J669" s="306">
        <f t="shared" ca="1" si="304"/>
        <v>893.6747882749064</v>
      </c>
      <c r="K669" s="307">
        <f t="shared" ca="1" si="305"/>
        <v>2136.2091223702701</v>
      </c>
      <c r="L669" s="304">
        <f t="shared" ca="1" si="290"/>
        <v>2315.6087842500851</v>
      </c>
      <c r="M669" s="306">
        <f t="shared" ca="1" si="306"/>
        <v>-1.9522060469011619E-2</v>
      </c>
      <c r="N669" s="304">
        <f t="shared" ca="1" si="307"/>
        <v>-1.1185316722735501</v>
      </c>
      <c r="P669" s="310">
        <f t="shared" ca="1" si="308"/>
        <v>23</v>
      </c>
      <c r="Q669" s="304">
        <f t="shared" ca="1" si="309"/>
        <v>0</v>
      </c>
      <c r="R669" s="306">
        <f t="shared" ca="1" si="310"/>
        <v>0</v>
      </c>
      <c r="S669" s="307">
        <f t="shared" ca="1" si="311"/>
        <v>12.409999999999973</v>
      </c>
      <c r="T669" s="304">
        <f t="shared" ca="1" si="291"/>
        <v>121.74209999999975</v>
      </c>
      <c r="U669" s="311">
        <f t="shared" ca="1" si="292"/>
        <v>0</v>
      </c>
      <c r="V669" s="306">
        <f t="shared" ca="1" si="293"/>
        <v>0.98856781231714563</v>
      </c>
      <c r="W669" s="304">
        <f t="shared" ca="1" si="294"/>
        <v>3.473308039138653</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-0.3340316154127293</v>
      </c>
      <c r="AH669" s="304">
        <f t="shared" ca="1" si="318"/>
        <v>-0.28018067578211758</v>
      </c>
    </row>
    <row r="670" spans="1:34" x14ac:dyDescent="0.25">
      <c r="A670" s="347">
        <f t="shared" ca="1" si="296"/>
        <v>0.1</v>
      </c>
      <c r="B670" s="304">
        <f t="shared" ca="1" si="297"/>
        <v>21.599999999999977</v>
      </c>
      <c r="D670" s="306">
        <f t="shared" ca="1" si="298"/>
        <v>-0.27982644661383521</v>
      </c>
      <c r="E670" s="307">
        <f t="shared" ca="1" si="299"/>
        <v>-9.8045365171065484</v>
      </c>
      <c r="F670" s="304">
        <f t="shared" ca="1" si="300"/>
        <v>9.8085288986422601</v>
      </c>
      <c r="G670" s="306">
        <f t="shared" ca="1" si="301"/>
        <v>39.19003017157808</v>
      </c>
      <c r="H670" s="307">
        <f t="shared" ca="1" si="302"/>
        <v>-1.7461673457863018</v>
      </c>
      <c r="I670" s="304">
        <f t="shared" ca="1" si="303"/>
        <v>39.228912363825366</v>
      </c>
      <c r="J670" s="306">
        <f t="shared" ca="1" si="304"/>
        <v>897.59519042429724</v>
      </c>
      <c r="K670" s="307">
        <f t="shared" ca="1" si="305"/>
        <v>2136.0835283182769</v>
      </c>
      <c r="L670" s="304">
        <f t="shared" ca="1" si="290"/>
        <v>2317.0088402562233</v>
      </c>
      <c r="M670" s="306">
        <f t="shared" ca="1" si="306"/>
        <v>-4.4526966992073272E-2</v>
      </c>
      <c r="N670" s="304">
        <f t="shared" ca="1" si="307"/>
        <v>-2.5512072831641244</v>
      </c>
      <c r="P670" s="310">
        <f t="shared" ca="1" si="308"/>
        <v>23</v>
      </c>
      <c r="Q670" s="304">
        <f t="shared" ca="1" si="309"/>
        <v>0</v>
      </c>
      <c r="R670" s="306">
        <f t="shared" ca="1" si="310"/>
        <v>0</v>
      </c>
      <c r="S670" s="307">
        <f t="shared" ca="1" si="311"/>
        <v>12.409999999999973</v>
      </c>
      <c r="T670" s="304">
        <f t="shared" ca="1" si="291"/>
        <v>121.74209999999975</v>
      </c>
      <c r="U670" s="311">
        <f t="shared" ca="1" si="292"/>
        <v>0</v>
      </c>
      <c r="V670" s="306">
        <f t="shared" ca="1" si="293"/>
        <v>0.98858037149232947</v>
      </c>
      <c r="W670" s="304">
        <f t="shared" ca="1" si="294"/>
        <v>3.4739587757346735</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-8.8380528609251163E-2</v>
      </c>
      <c r="AH670" s="304">
        <f t="shared" ca="1" si="318"/>
        <v>-0.27987977752930382</v>
      </c>
    </row>
    <row r="671" spans="1:34" x14ac:dyDescent="0.25">
      <c r="A671" s="347">
        <f t="shared" ca="1" si="296"/>
        <v>0.1</v>
      </c>
      <c r="B671" s="304">
        <f t="shared" ca="1" si="297"/>
        <v>21.699999999999978</v>
      </c>
      <c r="D671" s="306">
        <f t="shared" ca="1" si="298"/>
        <v>-0.27965475593343914</v>
      </c>
      <c r="E671" s="307">
        <f t="shared" ca="1" si="299"/>
        <v>-9.797539585941454</v>
      </c>
      <c r="F671" s="304">
        <f t="shared" ca="1" si="300"/>
        <v>9.801529917344844</v>
      </c>
      <c r="G671" s="306">
        <f t="shared" ca="1" si="301"/>
        <v>39.162064695984739</v>
      </c>
      <c r="H671" s="307">
        <f t="shared" ca="1" si="302"/>
        <v>-2.7259213043804476</v>
      </c>
      <c r="I671" s="304">
        <f t="shared" ca="1" si="303"/>
        <v>39.256820531089495</v>
      </c>
      <c r="J671" s="306">
        <f t="shared" ca="1" si="304"/>
        <v>901.51279516767534</v>
      </c>
      <c r="K671" s="307">
        <f t="shared" ca="1" si="305"/>
        <v>2135.8599238857687</v>
      </c>
      <c r="L671" s="304">
        <f t="shared" ca="1" si="290"/>
        <v>2318.3233023701323</v>
      </c>
      <c r="M671" s="306">
        <f t="shared" ca="1" si="306"/>
        <v>-6.9494080538465494E-2</v>
      </c>
      <c r="N671" s="304">
        <f t="shared" ca="1" si="307"/>
        <v>-3.9817175159963041</v>
      </c>
      <c r="P671" s="310">
        <f t="shared" ca="1" si="308"/>
        <v>23</v>
      </c>
      <c r="Q671" s="304">
        <f t="shared" ca="1" si="309"/>
        <v>0</v>
      </c>
      <c r="R671" s="306">
        <f t="shared" ca="1" si="310"/>
        <v>0</v>
      </c>
      <c r="S671" s="307">
        <f t="shared" ca="1" si="311"/>
        <v>12.409999999999973</v>
      </c>
      <c r="T671" s="304">
        <f t="shared" ca="1" si="291"/>
        <v>121.74209999999975</v>
      </c>
      <c r="U671" s="311">
        <f t="shared" ca="1" si="292"/>
        <v>0</v>
      </c>
      <c r="V671" s="306">
        <f t="shared" ca="1" si="293"/>
        <v>0.98860273187880088</v>
      </c>
      <c r="W671" s="304">
        <f t="shared" ca="1" si="294"/>
        <v>3.478982098067116</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0.15673300636885834</v>
      </c>
      <c r="AH671" s="304">
        <f t="shared" ca="1" si="318"/>
        <v>-0.27993221399957141</v>
      </c>
    </row>
    <row r="672" spans="1:34" x14ac:dyDescent="0.25">
      <c r="A672" s="347">
        <f t="shared" ca="1" si="296"/>
        <v>0.1</v>
      </c>
      <c r="B672" s="304">
        <f t="shared" ca="1" si="297"/>
        <v>21.799999999999979</v>
      </c>
      <c r="D672" s="306">
        <f t="shared" ca="1" si="298"/>
        <v>-0.27966033303655335</v>
      </c>
      <c r="E672" s="307">
        <f t="shared" ca="1" si="299"/>
        <v>-9.7905339155192035</v>
      </c>
      <c r="F672" s="304">
        <f t="shared" ca="1" si="300"/>
        <v>9.7945272603023525</v>
      </c>
      <c r="G672" s="306">
        <f t="shared" ca="1" si="301"/>
        <v>39.134098662681083</v>
      </c>
      <c r="H672" s="307">
        <f t="shared" ca="1" si="302"/>
        <v>-3.7049746959323677</v>
      </c>
      <c r="I672" s="304">
        <f t="shared" ca="1" si="303"/>
        <v>39.309089478617494</v>
      </c>
      <c r="J672" s="306">
        <f t="shared" ca="1" si="304"/>
        <v>905.42760333560864</v>
      </c>
      <c r="K672" s="307">
        <f t="shared" ca="1" si="305"/>
        <v>2135.5383790857531</v>
      </c>
      <c r="L672" s="304">
        <f t="shared" ca="1" si="290"/>
        <v>2319.5523950603638</v>
      </c>
      <c r="M672" s="306">
        <f t="shared" ca="1" si="306"/>
        <v>-9.4392475625769329E-2</v>
      </c>
      <c r="N672" s="304">
        <f t="shared" ca="1" si="307"/>
        <v>-5.408290471148077</v>
      </c>
      <c r="P672" s="310">
        <f t="shared" ca="1" si="308"/>
        <v>23</v>
      </c>
      <c r="Q672" s="304">
        <f t="shared" ca="1" si="309"/>
        <v>0</v>
      </c>
      <c r="R672" s="306">
        <f t="shared" ca="1" si="310"/>
        <v>0</v>
      </c>
      <c r="S672" s="307">
        <f t="shared" ca="1" si="311"/>
        <v>12.409999999999973</v>
      </c>
      <c r="T672" s="304">
        <f t="shared" ca="1" si="291"/>
        <v>121.74209999999975</v>
      </c>
      <c r="U672" s="311">
        <f t="shared" ca="1" si="292"/>
        <v>0</v>
      </c>
      <c r="V672" s="306">
        <f t="shared" ca="1" si="293"/>
        <v>0.98863488706904512</v>
      </c>
      <c r="W672" s="304">
        <f t="shared" ca="1" si="294"/>
        <v>3.488365985979542</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0.40085133521785615</v>
      </c>
      <c r="AH672" s="304">
        <f t="shared" ca="1" si="318"/>
        <v>-0.28033699420363606</v>
      </c>
    </row>
    <row r="673" spans="1:34" x14ac:dyDescent="0.25">
      <c r="A673" s="347">
        <f t="shared" ca="1" si="296"/>
        <v>0.1</v>
      </c>
      <c r="B673" s="304">
        <f t="shared" ca="1" si="297"/>
        <v>21.899999999999981</v>
      </c>
      <c r="D673" s="306">
        <f t="shared" ca="1" si="298"/>
        <v>-0.27984181760503923</v>
      </c>
      <c r="E673" s="307">
        <f t="shared" ca="1" si="299"/>
        <v>-9.7835063055360703</v>
      </c>
      <c r="F673" s="304">
        <f t="shared" ca="1" si="300"/>
        <v>9.7875077048932404</v>
      </c>
      <c r="G673" s="306">
        <f t="shared" ca="1" si="301"/>
        <v>39.106114480920581</v>
      </c>
      <c r="H673" s="307">
        <f t="shared" ca="1" si="302"/>
        <v>-4.6833253264859751</v>
      </c>
      <c r="I673" s="304">
        <f t="shared" ca="1" si="303"/>
        <v>39.385552248363503</v>
      </c>
      <c r="J673" s="306">
        <f t="shared" ca="1" si="304"/>
        <v>909.33961399278871</v>
      </c>
      <c r="K673" s="307">
        <f t="shared" ca="1" si="305"/>
        <v>2135.1189640846324</v>
      </c>
      <c r="L673" s="304">
        <f t="shared" ca="1" si="290"/>
        <v>2320.6963447143162</v>
      </c>
      <c r="M673" s="306">
        <f t="shared" ca="1" si="306"/>
        <v>-0.11919174783633822</v>
      </c>
      <c r="N673" s="304">
        <f t="shared" ca="1" si="307"/>
        <v>-6.8291841038097418</v>
      </c>
      <c r="P673" s="310">
        <f t="shared" ca="1" si="308"/>
        <v>23</v>
      </c>
      <c r="Q673" s="304">
        <f t="shared" ca="1" si="309"/>
        <v>0</v>
      </c>
      <c r="R673" s="306">
        <f t="shared" ca="1" si="310"/>
        <v>0</v>
      </c>
      <c r="S673" s="307">
        <f t="shared" ca="1" si="311"/>
        <v>12.409999999999973</v>
      </c>
      <c r="T673" s="304">
        <f t="shared" ca="1" si="291"/>
        <v>121.74209999999975</v>
      </c>
      <c r="U673" s="311">
        <f t="shared" ca="1" si="292"/>
        <v>0</v>
      </c>
      <c r="V673" s="306">
        <f t="shared" ca="1" si="293"/>
        <v>0.98867683089957736</v>
      </c>
      <c r="W673" s="304">
        <f t="shared" ca="1" si="294"/>
        <v>3.5020986720201703</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0.64352256271838648</v>
      </c>
      <c r="AH673" s="304">
        <f t="shared" ca="1" si="318"/>
        <v>-0.28109314955516113</v>
      </c>
    </row>
    <row r="674" spans="1:34" x14ac:dyDescent="0.25">
      <c r="A674" s="347">
        <f t="shared" ca="1" si="296"/>
        <v>0.1</v>
      </c>
      <c r="B674" s="304">
        <f t="shared" ca="1" si="297"/>
        <v>21.999999999999982</v>
      </c>
      <c r="D674" s="306">
        <f t="shared" ca="1" si="298"/>
        <v>-0.28019754426367693</v>
      </c>
      <c r="E674" s="307">
        <f t="shared" ca="1" si="299"/>
        <v>-9.7764437064922554</v>
      </c>
      <c r="F674" s="304">
        <f t="shared" ca="1" si="300"/>
        <v>9.780458179963933</v>
      </c>
      <c r="G674" s="306">
        <f t="shared" ca="1" si="301"/>
        <v>39.078094726494214</v>
      </c>
      <c r="H674" s="307">
        <f t="shared" ca="1" si="302"/>
        <v>-5.6609696971352008</v>
      </c>
      <c r="I674" s="304">
        <f t="shared" ca="1" si="303"/>
        <v>39.485998345802756</v>
      </c>
      <c r="J674" s="306">
        <f t="shared" ca="1" si="304"/>
        <v>913.2488244531595</v>
      </c>
      <c r="K674" s="307">
        <f t="shared" ca="1" si="305"/>
        <v>2134.6017493334512</v>
      </c>
      <c r="L674" s="304">
        <f t="shared" ca="1" si="290"/>
        <v>2321.7553797983342</v>
      </c>
      <c r="M674" s="306">
        <f t="shared" ca="1" si="306"/>
        <v>-0.14386223170783824</v>
      </c>
      <c r="N674" s="304">
        <f t="shared" ca="1" si="307"/>
        <v>-8.2426987081922611</v>
      </c>
      <c r="P674" s="310">
        <f t="shared" ca="1" si="308"/>
        <v>23</v>
      </c>
      <c r="Q674" s="304">
        <f t="shared" ca="1" si="309"/>
        <v>0</v>
      </c>
      <c r="R674" s="306">
        <f t="shared" ca="1" si="310"/>
        <v>0</v>
      </c>
      <c r="S674" s="307">
        <f t="shared" ca="1" si="311"/>
        <v>12.409999999999973</v>
      </c>
      <c r="T674" s="304">
        <f t="shared" ca="1" si="291"/>
        <v>121.74209999999975</v>
      </c>
      <c r="U674" s="311">
        <f t="shared" ca="1" si="292"/>
        <v>0</v>
      </c>
      <c r="V674" s="306">
        <f t="shared" ca="1" si="293"/>
        <v>0.98872855743725141</v>
      </c>
      <c r="W674" s="304">
        <f t="shared" ca="1" si="294"/>
        <v>3.5201686164829908</v>
      </c>
      <c r="Y674" s="314" t="str">
        <f t="shared" ca="1" si="312"/>
        <v/>
      </c>
      <c r="Z674" s="315" t="str">
        <f t="shared" ca="1" si="313"/>
        <v/>
      </c>
      <c r="AA674" s="316" t="str">
        <f t="shared" ca="1" si="314"/>
        <v/>
      </c>
      <c r="AC674" s="310">
        <f t="shared" ca="1" si="315"/>
        <v>21.999999999999982</v>
      </c>
      <c r="AD674" s="323">
        <f t="shared" ca="1" si="316"/>
        <v>913.2488244531595</v>
      </c>
      <c r="AE674" s="324" t="e">
        <f t="shared" ca="1" si="295"/>
        <v>#N/A</v>
      </c>
      <c r="AG674" s="306">
        <f t="shared" ca="1" si="317"/>
        <v>0.88430470520515814</v>
      </c>
      <c r="AH674" s="304">
        <f t="shared" ca="1" si="318"/>
        <v>-0.28219973183079594</v>
      </c>
    </row>
    <row r="675" spans="1:34" x14ac:dyDescent="0.25">
      <c r="A675" s="347">
        <f t="shared" ca="1" si="296"/>
        <v>0.1</v>
      </c>
      <c r="B675" s="304">
        <f t="shared" ca="1" si="297"/>
        <v>22.099999999999984</v>
      </c>
      <c r="D675" s="306">
        <f t="shared" ca="1" si="298"/>
        <v>-0.28072555139965527</v>
      </c>
      <c r="E675" s="307">
        <f t="shared" ca="1" si="299"/>
        <v>-9.7693332568845133</v>
      </c>
      <c r="F675" s="304">
        <f t="shared" ca="1" si="300"/>
        <v>9.773365803001461</v>
      </c>
      <c r="G675" s="306">
        <f t="shared" ca="1" si="301"/>
        <v>39.05002217135425</v>
      </c>
      <c r="H675" s="307">
        <f t="shared" ca="1" si="302"/>
        <v>-6.637903022823652</v>
      </c>
      <c r="I675" s="304">
        <f t="shared" ca="1" si="303"/>
        <v>39.610175310438478</v>
      </c>
      <c r="J675" s="306">
        <f t="shared" ca="1" si="304"/>
        <v>917.15523029805195</v>
      </c>
      <c r="K675" s="307">
        <f t="shared" ca="1" si="305"/>
        <v>2133.9868056974533</v>
      </c>
      <c r="L675" s="304">
        <f t="shared" ca="1" si="290"/>
        <v>2322.7297310177723</v>
      </c>
      <c r="M675" s="306">
        <f t="shared" ca="1" si="306"/>
        <v>-0.16837520520010532</v>
      </c>
      <c r="N675" s="304">
        <f t="shared" ca="1" si="307"/>
        <v>-9.6471886326152259</v>
      </c>
      <c r="P675" s="310">
        <f t="shared" ca="1" si="308"/>
        <v>23</v>
      </c>
      <c r="Q675" s="304">
        <f t="shared" ca="1" si="309"/>
        <v>0</v>
      </c>
      <c r="R675" s="306">
        <f t="shared" ca="1" si="310"/>
        <v>0</v>
      </c>
      <c r="S675" s="307">
        <f t="shared" ca="1" si="311"/>
        <v>12.409999999999973</v>
      </c>
      <c r="T675" s="304">
        <f t="shared" ca="1" si="291"/>
        <v>121.74209999999975</v>
      </c>
      <c r="U675" s="311">
        <f t="shared" ca="1" si="292"/>
        <v>0</v>
      </c>
      <c r="V675" s="306">
        <f t="shared" ca="1" si="293"/>
        <v>0.98879006096574695</v>
      </c>
      <c r="W675" s="304">
        <f t="shared" ca="1" si="294"/>
        <v>3.5425644828647767</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1.1227696321728653</v>
      </c>
      <c r="AH675" s="304">
        <f t="shared" ca="1" si="318"/>
        <v>-0.28365581115898458</v>
      </c>
    </row>
    <row r="676" spans="1:34" x14ac:dyDescent="0.25">
      <c r="A676" s="347">
        <f t="shared" ca="1" si="296"/>
        <v>0.1</v>
      </c>
      <c r="B676" s="304">
        <f t="shared" ca="1" si="297"/>
        <v>22.199999999999985</v>
      </c>
      <c r="D676" s="306">
        <f t="shared" ca="1" si="298"/>
        <v>-0.28142359262568006</v>
      </c>
      <c r="E676" s="307">
        <f t="shared" ca="1" si="299"/>
        <v>-9.7621623186797013</v>
      </c>
      <c r="F676" s="304">
        <f t="shared" ca="1" si="300"/>
        <v>9.7662179155871893</v>
      </c>
      <c r="G676" s="306">
        <f t="shared" ca="1" si="301"/>
        <v>39.021879812091683</v>
      </c>
      <c r="H676" s="307">
        <f t="shared" ca="1" si="302"/>
        <v>-7.6141192546916221</v>
      </c>
      <c r="I676" s="304">
        <f t="shared" ca="1" si="303"/>
        <v>39.757790633962472</v>
      </c>
      <c r="J676" s="306">
        <f t="shared" ca="1" si="304"/>
        <v>921.05882539722427</v>
      </c>
      <c r="K676" s="307">
        <f t="shared" ca="1" si="305"/>
        <v>2133.2742045835776</v>
      </c>
      <c r="L676" s="304">
        <f t="shared" ca="1" si="290"/>
        <v>2323.6196314766776</v>
      </c>
      <c r="M676" s="306">
        <f t="shared" ca="1" si="306"/>
        <v>-0.19270307737768833</v>
      </c>
      <c r="N676" s="304">
        <f t="shared" ca="1" si="307"/>
        <v>-11.041073032924473</v>
      </c>
      <c r="P676" s="310">
        <f t="shared" ca="1" si="308"/>
        <v>23</v>
      </c>
      <c r="Q676" s="304">
        <f t="shared" ca="1" si="309"/>
        <v>0</v>
      </c>
      <c r="R676" s="306">
        <f t="shared" ca="1" si="310"/>
        <v>0</v>
      </c>
      <c r="S676" s="307">
        <f t="shared" ca="1" si="311"/>
        <v>12.409999999999973</v>
      </c>
      <c r="T676" s="304">
        <f t="shared" ca="1" si="291"/>
        <v>121.74209999999975</v>
      </c>
      <c r="U676" s="311">
        <f t="shared" ca="1" si="292"/>
        <v>0</v>
      </c>
      <c r="V676" s="306">
        <f t="shared" ca="1" si="293"/>
        <v>0.98886133597227099</v>
      </c>
      <c r="W676" s="304">
        <f t="shared" ca="1" si="294"/>
        <v>3.5692751137943288</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1.3585067173056269</v>
      </c>
      <c r="AH676" s="304">
        <f t="shared" ca="1" si="318"/>
        <v>-0.28546047404228719</v>
      </c>
    </row>
    <row r="677" spans="1:34" x14ac:dyDescent="0.25">
      <c r="A677" s="347">
        <f t="shared" ca="1" si="296"/>
        <v>0.1</v>
      </c>
      <c r="B677" s="304">
        <f t="shared" ca="1" si="297"/>
        <v>22.299999999999986</v>
      </c>
      <c r="D677" s="306">
        <f t="shared" ca="1" si="298"/>
        <v>-0.28228915064996035</v>
      </c>
      <c r="E677" s="307">
        <f t="shared" ca="1" si="299"/>
        <v>-9.754918510648265</v>
      </c>
      <c r="F677" s="304">
        <f t="shared" ca="1" si="300"/>
        <v>9.7590021167106453</v>
      </c>
      <c r="G677" s="306">
        <f t="shared" ca="1" si="301"/>
        <v>38.99365089702669</v>
      </c>
      <c r="H677" s="307">
        <f t="shared" ca="1" si="302"/>
        <v>-8.5896111057564486</v>
      </c>
      <c r="I677" s="304">
        <f t="shared" ca="1" si="303"/>
        <v>39.92851398721627</v>
      </c>
      <c r="J677" s="306">
        <f t="shared" ca="1" si="304"/>
        <v>924.95960193268024</v>
      </c>
      <c r="K677" s="307">
        <f t="shared" ca="1" si="305"/>
        <v>2132.4640180655551</v>
      </c>
      <c r="L677" s="304">
        <f t="shared" ca="1" si="290"/>
        <v>2324.4253168367777</v>
      </c>
      <c r="M677" s="306">
        <f t="shared" ca="1" si="306"/>
        <v>-0.21681955649325135</v>
      </c>
      <c r="N677" s="304">
        <f t="shared" ca="1" si="307"/>
        <v>-12.422845502961627</v>
      </c>
      <c r="P677" s="310">
        <f t="shared" ca="1" si="308"/>
        <v>23</v>
      </c>
      <c r="Q677" s="304">
        <f t="shared" ca="1" si="309"/>
        <v>0</v>
      </c>
      <c r="R677" s="306">
        <f t="shared" ca="1" si="310"/>
        <v>0</v>
      </c>
      <c r="S677" s="307">
        <f t="shared" ca="1" si="311"/>
        <v>12.409999999999973</v>
      </c>
      <c r="T677" s="304">
        <f t="shared" ca="1" si="291"/>
        <v>121.74209999999975</v>
      </c>
      <c r="U677" s="311">
        <f t="shared" ca="1" si="292"/>
        <v>0</v>
      </c>
      <c r="V677" s="306">
        <f t="shared" ca="1" si="293"/>
        <v>0.98894237713450728</v>
      </c>
      <c r="W677" s="304">
        <f t="shared" ca="1" si="294"/>
        <v>3.6002895074870529</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1.5911261300550215</v>
      </c>
      <c r="AH677" s="304">
        <f t="shared" ca="1" si="318"/>
        <v>-0.28761282141775474</v>
      </c>
    </row>
    <row r="678" spans="1:34" x14ac:dyDescent="0.25">
      <c r="A678" s="347">
        <f t="shared" ca="1" si="296"/>
        <v>0.1</v>
      </c>
      <c r="B678" s="304">
        <f t="shared" ca="1" si="297"/>
        <v>22.399999999999988</v>
      </c>
      <c r="D678" s="306">
        <f t="shared" ca="1" si="298"/>
        <v>-0.28331945327333913</v>
      </c>
      <c r="E678" s="307">
        <f t="shared" ca="1" si="299"/>
        <v>-9.7475897391926676</v>
      </c>
      <c r="F678" s="304">
        <f t="shared" ca="1" si="300"/>
        <v>9.7517062935784367</v>
      </c>
      <c r="G678" s="306">
        <f t="shared" ca="1" si="301"/>
        <v>38.965318951699359</v>
      </c>
      <c r="H678" s="307">
        <f t="shared" ca="1" si="302"/>
        <v>-9.5643700796757152</v>
      </c>
      <c r="I678" s="304">
        <f t="shared" ca="1" si="303"/>
        <v>40.121979712230768</v>
      </c>
      <c r="J678" s="306">
        <f t="shared" ca="1" si="304"/>
        <v>928.85755042511653</v>
      </c>
      <c r="K678" s="307">
        <f t="shared" ca="1" si="305"/>
        <v>2131.5563190062835</v>
      </c>
      <c r="L678" s="304">
        <f t="shared" ca="1" si="290"/>
        <v>2325.1470254754568</v>
      </c>
      <c r="M678" s="306">
        <f t="shared" ca="1" si="306"/>
        <v>-0.24069979627203422</v>
      </c>
      <c r="N678" s="304">
        <f t="shared" ca="1" si="307"/>
        <v>-13.791082456046308</v>
      </c>
      <c r="P678" s="310">
        <f t="shared" ca="1" si="308"/>
        <v>23</v>
      </c>
      <c r="Q678" s="304">
        <f t="shared" ca="1" si="309"/>
        <v>0</v>
      </c>
      <c r="R678" s="306">
        <f t="shared" ca="1" si="310"/>
        <v>0</v>
      </c>
      <c r="S678" s="307">
        <f t="shared" ca="1" si="311"/>
        <v>12.409999999999973</v>
      </c>
      <c r="T678" s="304">
        <f t="shared" ca="1" si="291"/>
        <v>121.74209999999975</v>
      </c>
      <c r="U678" s="311">
        <f t="shared" ca="1" si="292"/>
        <v>0</v>
      </c>
      <c r="V678" s="306">
        <f t="shared" ca="1" si="293"/>
        <v>0.98903317930784029</v>
      </c>
      <c r="W678" s="304">
        <f t="shared" ca="1" si="294"/>
        <v>3.635596794773972</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1.8202617119214515</v>
      </c>
      <c r="AH678" s="304">
        <f t="shared" ca="1" si="318"/>
        <v>-0.29011196675963419</v>
      </c>
    </row>
    <row r="679" spans="1:34" x14ac:dyDescent="0.25">
      <c r="A679" s="347">
        <f t="shared" ca="1" si="296"/>
        <v>0.1</v>
      </c>
      <c r="B679" s="304">
        <f t="shared" ca="1" si="297"/>
        <v>22.499999999999989</v>
      </c>
      <c r="D679" s="306">
        <f t="shared" ca="1" si="298"/>
        <v>-0.28451149120072611</v>
      </c>
      <c r="E679" s="307">
        <f t="shared" ca="1" si="299"/>
        <v>-9.7401642263691652</v>
      </c>
      <c r="F679" s="304">
        <f t="shared" ca="1" si="300"/>
        <v>9.7443186496166518</v>
      </c>
      <c r="G679" s="306">
        <f t="shared" ca="1" si="301"/>
        <v>38.936867802579286</v>
      </c>
      <c r="H679" s="307">
        <f t="shared" ca="1" si="302"/>
        <v>-10.538386502312632</v>
      </c>
      <c r="I679" s="304">
        <f t="shared" ca="1" si="303"/>
        <v>40.337789532244585</v>
      </c>
      <c r="J679" s="306">
        <f t="shared" ca="1" si="304"/>
        <v>932.75265976283049</v>
      </c>
      <c r="K679" s="307">
        <f t="shared" ca="1" si="305"/>
        <v>2130.5511811771839</v>
      </c>
      <c r="L679" s="304">
        <f t="shared" ca="1" si="290"/>
        <v>2325.7849986424212</v>
      </c>
      <c r="M679" s="306">
        <f t="shared" ca="1" si="306"/>
        <v>-0.26432051885181906</v>
      </c>
      <c r="N679" s="304">
        <f t="shared" ca="1" si="307"/>
        <v>-15.144450168917345</v>
      </c>
      <c r="P679" s="310">
        <f t="shared" ca="1" si="308"/>
        <v>23</v>
      </c>
      <c r="Q679" s="304">
        <f t="shared" ca="1" si="309"/>
        <v>0</v>
      </c>
      <c r="R679" s="306">
        <f t="shared" ca="1" si="310"/>
        <v>0</v>
      </c>
      <c r="S679" s="307">
        <f t="shared" ca="1" si="311"/>
        <v>12.409999999999973</v>
      </c>
      <c r="T679" s="304">
        <f t="shared" ca="1" si="291"/>
        <v>121.74209999999975</v>
      </c>
      <c r="U679" s="311">
        <f t="shared" ca="1" si="292"/>
        <v>0</v>
      </c>
      <c r="V679" s="306">
        <f t="shared" ca="1" si="293"/>
        <v>0.9891337375128838</v>
      </c>
      <c r="W679" s="304">
        <f t="shared" ca="1" si="294"/>
        <v>3.6751862167498723</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2.0455733960887823</v>
      </c>
      <c r="AH679" s="304">
        <f t="shared" ca="1" si="318"/>
        <v>-0.29295703422836261</v>
      </c>
    </row>
    <row r="680" spans="1:34" x14ac:dyDescent="0.25">
      <c r="A680" s="347">
        <f t="shared" ca="1" si="296"/>
        <v>0.1</v>
      </c>
      <c r="B680" s="304">
        <f t="shared" ca="1" si="297"/>
        <v>22.599999999999991</v>
      </c>
      <c r="D680" s="306">
        <f t="shared" ca="1" si="298"/>
        <v>-0.28586203733147059</v>
      </c>
      <c r="E680" s="307">
        <f t="shared" ca="1" si="299"/>
        <v>-9.732630534869628</v>
      </c>
      <c r="F680" s="304">
        <f t="shared" ca="1" si="300"/>
        <v>9.7368277294334398</v>
      </c>
      <c r="G680" s="306">
        <f t="shared" ca="1" si="301"/>
        <v>38.908281598846138</v>
      </c>
      <c r="H680" s="307">
        <f t="shared" ca="1" si="302"/>
        <v>-11.511649555799595</v>
      </c>
      <c r="I680" s="304">
        <f t="shared" ca="1" si="303"/>
        <v>40.575515430745305</v>
      </c>
      <c r="J680" s="306">
        <f t="shared" ca="1" si="304"/>
        <v>936.64491723290178</v>
      </c>
      <c r="K680" s="307">
        <f t="shared" ca="1" si="305"/>
        <v>2129.4486793742785</v>
      </c>
      <c r="L680" s="304">
        <f t="shared" ca="1" si="290"/>
        <v>2326.3394806147894</v>
      </c>
      <c r="M680" s="306">
        <f t="shared" ca="1" si="306"/>
        <v>-0.28766011349627985</v>
      </c>
      <c r="N680" s="304">
        <f t="shared" ca="1" si="307"/>
        <v>-16.481710437591087</v>
      </c>
      <c r="P680" s="310">
        <f t="shared" ca="1" si="308"/>
        <v>23</v>
      </c>
      <c r="Q680" s="304">
        <f t="shared" ca="1" si="309"/>
        <v>0</v>
      </c>
      <c r="R680" s="306">
        <f t="shared" ca="1" si="310"/>
        <v>0</v>
      </c>
      <c r="S680" s="307">
        <f t="shared" ca="1" si="311"/>
        <v>12.409999999999973</v>
      </c>
      <c r="T680" s="304">
        <f t="shared" ca="1" si="291"/>
        <v>121.74209999999975</v>
      </c>
      <c r="U680" s="311">
        <f t="shared" ca="1" si="292"/>
        <v>0</v>
      </c>
      <c r="V680" s="306">
        <f t="shared" ca="1" si="293"/>
        <v>0.98924404692333701</v>
      </c>
      <c r="W680" s="304">
        <f t="shared" ca="1" si="294"/>
        <v>3.7190471030802419</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2.2667491442540264</v>
      </c>
      <c r="AH680" s="304">
        <f t="shared" ca="1" si="318"/>
        <v>-0.29614715686945048</v>
      </c>
    </row>
    <row r="681" spans="1:34" x14ac:dyDescent="0.25">
      <c r="A681" s="347">
        <f t="shared" ca="1" si="296"/>
        <v>0.1</v>
      </c>
      <c r="B681" s="304">
        <f t="shared" ca="1" si="297"/>
        <v>22.699999999999992</v>
      </c>
      <c r="D681" s="306">
        <f t="shared" ca="1" si="298"/>
        <v>-0.28736766718155604</v>
      </c>
      <c r="E681" s="307">
        <f t="shared" ca="1" si="299"/>
        <v>-9.7249775898003215</v>
      </c>
      <c r="F681" s="304">
        <f t="shared" ca="1" si="300"/>
        <v>9.7292224405786829</v>
      </c>
      <c r="G681" s="306">
        <f t="shared" ca="1" si="301"/>
        <v>38.879544832127984</v>
      </c>
      <c r="H681" s="307">
        <f t="shared" ca="1" si="302"/>
        <v>-12.484147314779626</v>
      </c>
      <c r="I681" s="304">
        <f t="shared" ca="1" si="303"/>
        <v>40.834702650203894</v>
      </c>
      <c r="J681" s="306">
        <f t="shared" ca="1" si="304"/>
        <v>940.53430855445049</v>
      </c>
      <c r="K681" s="307">
        <f t="shared" ca="1" si="305"/>
        <v>2128.2488895307497</v>
      </c>
      <c r="L681" s="304">
        <f t="shared" ca="1" si="290"/>
        <v>2326.8107188503468</v>
      </c>
      <c r="M681" s="306">
        <f t="shared" ca="1" si="306"/>
        <v>-0.31069871084402029</v>
      </c>
      <c r="N681" s="304">
        <f t="shared" ca="1" si="307"/>
        <v>-17.801724831517905</v>
      </c>
      <c r="P681" s="310">
        <f t="shared" ca="1" si="308"/>
        <v>23</v>
      </c>
      <c r="Q681" s="304">
        <f t="shared" ca="1" si="309"/>
        <v>0</v>
      </c>
      <c r="R681" s="306">
        <f t="shared" ca="1" si="310"/>
        <v>0</v>
      </c>
      <c r="S681" s="307">
        <f t="shared" ca="1" si="311"/>
        <v>12.409999999999973</v>
      </c>
      <c r="T681" s="304">
        <f t="shared" ca="1" si="291"/>
        <v>121.74209999999975</v>
      </c>
      <c r="U681" s="311">
        <f t="shared" ca="1" si="292"/>
        <v>0</v>
      </c>
      <c r="V681" s="306">
        <f t="shared" ca="1" si="293"/>
        <v>0.98936410285419074</v>
      </c>
      <c r="W681" s="304">
        <f t="shared" ca="1" si="294"/>
        <v>3.76716885100149</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2.4835063896274323</v>
      </c>
      <c r="AH681" s="304">
        <f t="shared" ca="1" si="318"/>
        <v>-0.29968147486545121</v>
      </c>
    </row>
    <row r="682" spans="1:34" x14ac:dyDescent="0.25">
      <c r="A682" s="347">
        <f t="shared" ca="1" si="296"/>
        <v>0.1</v>
      </c>
      <c r="B682" s="304">
        <f t="shared" ca="1" si="297"/>
        <v>22.799999999999994</v>
      </c>
      <c r="D682" s="306">
        <f t="shared" ca="1" si="298"/>
        <v>-0.28902478008916865</v>
      </c>
      <c r="E682" s="307">
        <f t="shared" ca="1" si="299"/>
        <v>-9.717194697164425</v>
      </c>
      <c r="F682" s="304">
        <f t="shared" ca="1" si="300"/>
        <v>9.7214920720075693</v>
      </c>
      <c r="G682" s="306">
        <f t="shared" ca="1" si="301"/>
        <v>38.850642354119067</v>
      </c>
      <c r="H682" s="307">
        <f t="shared" ca="1" si="302"/>
        <v>-13.455866784496068</v>
      </c>
      <c r="I682" s="304">
        <f t="shared" ca="1" si="303"/>
        <v>41.114872762174208</v>
      </c>
      <c r="J682" s="306">
        <f t="shared" ca="1" si="304"/>
        <v>944.42081791376279</v>
      </c>
      <c r="K682" s="307">
        <f t="shared" ca="1" si="305"/>
        <v>2126.9518888257858</v>
      </c>
      <c r="L682" s="304">
        <f t="shared" ca="1" si="290"/>
        <v>2327.1989641387518</v>
      </c>
      <c r="M682" s="306">
        <f t="shared" ca="1" si="306"/>
        <v>-0.33341823305631096</v>
      </c>
      <c r="N682" s="304">
        <f t="shared" ca="1" si="307"/>
        <v>-19.103457566835889</v>
      </c>
      <c r="P682" s="310">
        <f t="shared" ca="1" si="308"/>
        <v>23</v>
      </c>
      <c r="Q682" s="304">
        <f t="shared" ca="1" si="309"/>
        <v>0</v>
      </c>
      <c r="R682" s="306">
        <f t="shared" ca="1" si="310"/>
        <v>0</v>
      </c>
      <c r="S682" s="307">
        <f t="shared" ca="1" si="311"/>
        <v>12.409999999999973</v>
      </c>
      <c r="T682" s="304">
        <f t="shared" ca="1" si="291"/>
        <v>121.74209999999975</v>
      </c>
      <c r="U682" s="311">
        <f t="shared" ca="1" si="292"/>
        <v>0</v>
      </c>
      <c r="V682" s="306">
        <f t="shared" ca="1" si="293"/>
        <v>0.98949390075029875</v>
      </c>
      <c r="W682" s="304">
        <f t="shared" ca="1" si="294"/>
        <v>3.8195409050433948</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2.6955929894636741</v>
      </c>
      <c r="AH682" s="304">
        <f t="shared" ca="1" si="318"/>
        <v>-0.30355913384379518</v>
      </c>
    </row>
    <row r="683" spans="1:34" x14ac:dyDescent="0.25">
      <c r="A683" s="347">
        <f t="shared" ca="1" si="296"/>
        <v>0.1</v>
      </c>
      <c r="B683" s="304">
        <f t="shared" ca="1" si="297"/>
        <v>22.899999999999995</v>
      </c>
      <c r="D683" s="306">
        <f t="shared" ca="1" si="298"/>
        <v>-0.29082962086349423</v>
      </c>
      <c r="E683" s="307">
        <f t="shared" ca="1" si="299"/>
        <v>-9.7092715590219907</v>
      </c>
      <c r="F683" s="304">
        <f t="shared" ca="1" si="300"/>
        <v>9.7136263092217483</v>
      </c>
      <c r="G683" s="306">
        <f t="shared" ca="1" si="301"/>
        <v>38.821559392032718</v>
      </c>
      <c r="H683" s="307">
        <f t="shared" ca="1" si="302"/>
        <v>-14.426793940398268</v>
      </c>
      <c r="I683" s="304">
        <f t="shared" ca="1" si="303"/>
        <v>41.415526762650693</v>
      </c>
      <c r="J683" s="306">
        <f t="shared" ca="1" si="304"/>
        <v>948.30442800107039</v>
      </c>
      <c r="K683" s="307">
        <f t="shared" ca="1" si="305"/>
        <v>2125.5577557895413</v>
      </c>
      <c r="L683" s="304">
        <f t="shared" ca="1" si="290"/>
        <v>2327.5044707504876</v>
      </c>
      <c r="M683" s="306">
        <f t="shared" ca="1" si="306"/>
        <v>-0.3558024207634039</v>
      </c>
      <c r="N683" s="304">
        <f t="shared" ca="1" si="307"/>
        <v>-20.385977050280935</v>
      </c>
      <c r="P683" s="310">
        <f t="shared" ca="1" si="308"/>
        <v>23</v>
      </c>
      <c r="Q683" s="304">
        <f t="shared" ca="1" si="309"/>
        <v>0</v>
      </c>
      <c r="R683" s="306">
        <f t="shared" ca="1" si="310"/>
        <v>0</v>
      </c>
      <c r="S683" s="307">
        <f t="shared" ca="1" si="311"/>
        <v>12.409999999999973</v>
      </c>
      <c r="T683" s="304">
        <f t="shared" ca="1" si="291"/>
        <v>121.74209999999975</v>
      </c>
      <c r="U683" s="311">
        <f t="shared" ca="1" si="292"/>
        <v>0</v>
      </c>
      <c r="V683" s="306">
        <f t="shared" ca="1" si="293"/>
        <v>0.98963343617533395</v>
      </c>
      <c r="W683" s="304">
        <f t="shared" ca="1" si="294"/>
        <v>3.8761527374972355</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2.902787703537415</v>
      </c>
      <c r="AH683" s="304">
        <f t="shared" ca="1" si="318"/>
        <v>-0.30777928324282056</v>
      </c>
    </row>
    <row r="684" spans="1:34" x14ac:dyDescent="0.25">
      <c r="A684" s="347">
        <f t="shared" ca="1" si="296"/>
        <v>0.1</v>
      </c>
      <c r="B684" s="304">
        <f t="shared" ca="1" si="297"/>
        <v>22.999999999999996</v>
      </c>
      <c r="D684" s="306">
        <f t="shared" ca="1" si="298"/>
        <v>-0.29277830155340401</v>
      </c>
      <c r="E684" s="307">
        <f t="shared" ca="1" si="299"/>
        <v>-9.7011982853631178</v>
      </c>
      <c r="F684" s="304">
        <f t="shared" ca="1" si="300"/>
        <v>9.7056152461239051</v>
      </c>
      <c r="G684" s="306">
        <f t="shared" ca="1" si="301"/>
        <v>38.792281561877381</v>
      </c>
      <c r="H684" s="307">
        <f t="shared" ca="1" si="302"/>
        <v>-15.39691376893458</v>
      </c>
      <c r="I684" s="304">
        <f t="shared" ca="1" si="303"/>
        <v>41.736148149823066</v>
      </c>
      <c r="J684" s="306">
        <f t="shared" ca="1" si="304"/>
        <v>952.18512004876595</v>
      </c>
      <c r="K684" s="307">
        <f t="shared" ca="1" si="305"/>
        <v>2124.0665704040748</v>
      </c>
      <c r="L684" s="304">
        <f t="shared" ca="1" si="290"/>
        <v>2327.7274965833976</v>
      </c>
      <c r="M684" s="306">
        <f t="shared" ca="1" si="306"/>
        <v>-0.37783683816756508</v>
      </c>
      <c r="N684" s="304">
        <f t="shared" ca="1" si="307"/>
        <v>-21.648456171568977</v>
      </c>
      <c r="P684" s="310">
        <f t="shared" ca="1" si="308"/>
        <v>23</v>
      </c>
      <c r="Q684" s="304">
        <f t="shared" ca="1" si="309"/>
        <v>0</v>
      </c>
      <c r="R684" s="306">
        <f t="shared" ca="1" si="310"/>
        <v>0</v>
      </c>
      <c r="S684" s="307">
        <f t="shared" ca="1" si="311"/>
        <v>12.409999999999973</v>
      </c>
      <c r="T684" s="304">
        <f t="shared" ca="1" si="291"/>
        <v>121.74209999999975</v>
      </c>
      <c r="U684" s="311">
        <f t="shared" ca="1" si="292"/>
        <v>0</v>
      </c>
      <c r="V684" s="306">
        <f t="shared" ca="1" si="293"/>
        <v>0.98978270480113939</v>
      </c>
      <c r="W684" s="304">
        <f t="shared" ca="1" si="294"/>
        <v>3.9369938296475189</v>
      </c>
      <c r="Y684" s="314" t="str">
        <f t="shared" ca="1" si="312"/>
        <v/>
      </c>
      <c r="Z684" s="315" t="str">
        <f t="shared" ca="1" si="313"/>
        <v/>
      </c>
      <c r="AA684" s="316" t="str">
        <f t="shared" ca="1" si="314"/>
        <v/>
      </c>
      <c r="AC684" s="310">
        <f t="shared" ca="1" si="315"/>
        <v>22.999999999999996</v>
      </c>
      <c r="AD684" s="323">
        <f t="shared" ca="1" si="316"/>
        <v>952.18512004876595</v>
      </c>
      <c r="AE684" s="324" t="e">
        <f t="shared" ca="1" si="295"/>
        <v>#N/A</v>
      </c>
      <c r="AG684" s="306">
        <f t="shared" ca="1" si="317"/>
        <v>3.1049002262453569</v>
      </c>
      <c r="AH684" s="304">
        <f t="shared" ca="1" si="318"/>
        <v>-0.31234107473789235</v>
      </c>
    </row>
    <row r="685" spans="1:34" x14ac:dyDescent="0.25">
      <c r="A685" s="347">
        <f t="shared" ca="1" si="296"/>
        <v>0.1</v>
      </c>
      <c r="B685" s="304">
        <f t="shared" ca="1" si="297"/>
        <v>23.099999999999998</v>
      </c>
      <c r="D685" s="306">
        <f t="shared" ca="1" si="298"/>
        <v>-0.2948668230365728</v>
      </c>
      <c r="E685" s="307">
        <f t="shared" ca="1" si="299"/>
        <v>-9.6929654027858092</v>
      </c>
      <c r="F685" s="304">
        <f t="shared" ca="1" si="300"/>
        <v>9.6974493936772035</v>
      </c>
      <c r="G685" s="306">
        <f t="shared" ca="1" si="301"/>
        <v>38.762794879573725</v>
      </c>
      <c r="H685" s="307">
        <f t="shared" ca="1" si="302"/>
        <v>-16.366210309213159</v>
      </c>
      <c r="I685" s="304">
        <f t="shared" ca="1" si="303"/>
        <v>42.076205945418863</v>
      </c>
      <c r="J685" s="306">
        <f t="shared" ca="1" si="304"/>
        <v>956.06287387083853</v>
      </c>
      <c r="K685" s="307">
        <f t="shared" ca="1" si="305"/>
        <v>2122.4784142001672</v>
      </c>
      <c r="L685" s="304">
        <f t="shared" ca="1" si="290"/>
        <v>2327.8683033066591</v>
      </c>
      <c r="M685" s="306">
        <f t="shared" ca="1" si="306"/>
        <v>-0.39950885803136971</v>
      </c>
      <c r="N685" s="304">
        <f t="shared" ca="1" si="307"/>
        <v>-22.890171443288665</v>
      </c>
      <c r="P685" s="310">
        <f t="shared" ca="1" si="308"/>
        <v>23</v>
      </c>
      <c r="Q685" s="304">
        <f t="shared" ca="1" si="309"/>
        <v>0</v>
      </c>
      <c r="R685" s="306">
        <f t="shared" ca="1" si="310"/>
        <v>0</v>
      </c>
      <c r="S685" s="307">
        <f t="shared" ca="1" si="311"/>
        <v>12.409999999999973</v>
      </c>
      <c r="T685" s="304">
        <f t="shared" ca="1" si="291"/>
        <v>121.74209999999975</v>
      </c>
      <c r="U685" s="311">
        <f t="shared" ca="1" si="292"/>
        <v>0</v>
      </c>
      <c r="V685" s="306">
        <f t="shared" ca="1" si="293"/>
        <v>0.98994170239747914</v>
      </c>
      <c r="W685" s="304">
        <f t="shared" ca="1" si="294"/>
        <v>4.0020536537797797</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3.3017708091984659</v>
      </c>
      <c r="AH685" s="304">
        <f t="shared" ca="1" si="318"/>
        <v>-0.31724366072905136</v>
      </c>
    </row>
    <row r="686" spans="1:34" x14ac:dyDescent="0.25">
      <c r="A686" s="347">
        <f t="shared" ca="1" si="296"/>
        <v>0.1</v>
      </c>
      <c r="B686" s="304">
        <f t="shared" ca="1" si="297"/>
        <v>23.2</v>
      </c>
      <c r="D686" s="306">
        <f t="shared" ca="1" si="298"/>
        <v>-0.29709109615899754</v>
      </c>
      <c r="E686" s="307">
        <f t="shared" ca="1" si="299"/>
        <v>-9.6845638601179651</v>
      </c>
      <c r="F686" s="304">
        <f t="shared" ca="1" si="300"/>
        <v>9.6891196855090982</v>
      </c>
      <c r="G686" s="306">
        <f t="shared" ca="1" si="301"/>
        <v>38.733085769957825</v>
      </c>
      <c r="H686" s="307">
        <f t="shared" ca="1" si="302"/>
        <v>-17.334666695224954</v>
      </c>
      <c r="I686" s="304">
        <f t="shared" ca="1" si="303"/>
        <v>42.435157625457812</v>
      </c>
      <c r="J686" s="306">
        <f t="shared" ca="1" si="304"/>
        <v>959.93766790331506</v>
      </c>
      <c r="K686" s="307">
        <f t="shared" ca="1" si="305"/>
        <v>2120.7933703499452</v>
      </c>
      <c r="L686" s="304">
        <f t="shared" ca="1" si="290"/>
        <v>2327.9271565020963</v>
      </c>
      <c r="M686" s="306">
        <f t="shared" ca="1" si="306"/>
        <v>-0.42080762855849452</v>
      </c>
      <c r="N686" s="304">
        <f t="shared" ca="1" si="307"/>
        <v>-24.110501103310547</v>
      </c>
      <c r="P686" s="310">
        <f t="shared" ca="1" si="308"/>
        <v>23</v>
      </c>
      <c r="Q686" s="304">
        <f t="shared" ca="1" si="309"/>
        <v>0</v>
      </c>
      <c r="R686" s="306">
        <f t="shared" ca="1" si="310"/>
        <v>0</v>
      </c>
      <c r="S686" s="307">
        <f t="shared" ca="1" si="311"/>
        <v>12.409999999999973</v>
      </c>
      <c r="T686" s="304">
        <f t="shared" ca="1" si="291"/>
        <v>121.74209999999975</v>
      </c>
      <c r="U686" s="311">
        <f t="shared" ca="1" si="292"/>
        <v>0</v>
      </c>
      <c r="V686" s="306">
        <f t="shared" ca="1" si="293"/>
        <v>0.99011042482220146</v>
      </c>
      <c r="W686" s="304">
        <f t="shared" ca="1" si="294"/>
        <v>4.0713216559718282</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3.4932695181073012</v>
      </c>
      <c r="AH686" s="304">
        <f t="shared" ca="1" si="318"/>
        <v>-0.32248619289119967</v>
      </c>
    </row>
    <row r="687" spans="1:34" x14ac:dyDescent="0.25">
      <c r="A687" s="347">
        <f t="shared" ca="1" si="296"/>
        <v>0.1</v>
      </c>
      <c r="B687" s="304">
        <f t="shared" ca="1" si="297"/>
        <v>23.3</v>
      </c>
      <c r="D687" s="306">
        <f t="shared" ca="1" si="298"/>
        <v>-0.29944696218823247</v>
      </c>
      <c r="E687" s="307">
        <f t="shared" ca="1" si="299"/>
        <v>-9.6759850311627709</v>
      </c>
      <c r="F687" s="304">
        <f t="shared" ca="1" si="300"/>
        <v>9.6806174806388139</v>
      </c>
      <c r="G687" s="306">
        <f t="shared" ca="1" si="301"/>
        <v>38.703141073739005</v>
      </c>
      <c r="H687" s="307">
        <f t="shared" ca="1" si="302"/>
        <v>-18.302265198341232</v>
      </c>
      <c r="I687" s="304">
        <f t="shared" ca="1" si="303"/>
        <v>42.812451931233227</v>
      </c>
      <c r="J687" s="306">
        <f t="shared" ca="1" si="304"/>
        <v>963.80947924549992</v>
      </c>
      <c r="K687" s="307">
        <f t="shared" ca="1" si="305"/>
        <v>2119.0115237552668</v>
      </c>
      <c r="L687" s="304">
        <f t="shared" ca="1" si="290"/>
        <v>2327.9043258027377</v>
      </c>
      <c r="M687" s="306">
        <f t="shared" ca="1" si="306"/>
        <v>-0.44172402436216296</v>
      </c>
      <c r="N687" s="304">
        <f t="shared" ca="1" si="307"/>
        <v>-25.308922305485893</v>
      </c>
      <c r="P687" s="310">
        <f t="shared" ca="1" si="308"/>
        <v>23</v>
      </c>
      <c r="Q687" s="304">
        <f t="shared" ca="1" si="309"/>
        <v>0</v>
      </c>
      <c r="R687" s="306">
        <f t="shared" ca="1" si="310"/>
        <v>0</v>
      </c>
      <c r="S687" s="307">
        <f t="shared" ca="1" si="311"/>
        <v>12.409999999999973</v>
      </c>
      <c r="T687" s="304">
        <f t="shared" ca="1" si="291"/>
        <v>121.74209999999975</v>
      </c>
      <c r="U687" s="311">
        <f t="shared" ca="1" si="292"/>
        <v>0</v>
      </c>
      <c r="V687" s="306">
        <f t="shared" ca="1" si="293"/>
        <v>0.99028886801181071</v>
      </c>
      <c r="W687" s="304">
        <f t="shared" ca="1" si="294"/>
        <v>4.1447872396708041</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3.6792951724429441</v>
      </c>
      <c r="AH687" s="304">
        <f t="shared" ca="1" si="318"/>
        <v>-0.32806782078741636</v>
      </c>
    </row>
    <row r="688" spans="1:34" x14ac:dyDescent="0.25">
      <c r="A688" s="347">
        <f t="shared" ca="1" si="296"/>
        <v>0.1</v>
      </c>
      <c r="B688" s="304">
        <f t="shared" ca="1" si="297"/>
        <v>23.400000000000002</v>
      </c>
      <c r="D688" s="306">
        <f t="shared" ca="1" si="298"/>
        <v>-0.30193021237935985</v>
      </c>
      <c r="E688" s="307">
        <f t="shared" ca="1" si="299"/>
        <v>-9.6672207147779012</v>
      </c>
      <c r="F688" s="304">
        <f t="shared" ca="1" si="300"/>
        <v>9.6719345635388994</v>
      </c>
      <c r="G688" s="306">
        <f t="shared" ca="1" si="301"/>
        <v>38.67294805250107</v>
      </c>
      <c r="H688" s="307">
        <f t="shared" ca="1" si="302"/>
        <v>-19.268987269819021</v>
      </c>
      <c r="I688" s="304">
        <f t="shared" ca="1" si="303"/>
        <v>43.20753153647977</v>
      </c>
      <c r="J688" s="306">
        <f t="shared" ca="1" si="304"/>
        <v>967.67828370181189</v>
      </c>
      <c r="K688" s="307">
        <f t="shared" ca="1" si="305"/>
        <v>2117.1329611318588</v>
      </c>
      <c r="L688" s="304">
        <f t="shared" ca="1" si="290"/>
        <v>2327.8000850285744</v>
      </c>
      <c r="M688" s="306">
        <f t="shared" ca="1" si="306"/>
        <v>-0.4622505838185571</v>
      </c>
      <c r="N688" s="304">
        <f t="shared" ca="1" si="307"/>
        <v>-26.485007530261626</v>
      </c>
      <c r="P688" s="310">
        <f t="shared" ca="1" si="308"/>
        <v>23</v>
      </c>
      <c r="Q688" s="304">
        <f t="shared" ca="1" si="309"/>
        <v>0</v>
      </c>
      <c r="R688" s="306">
        <f t="shared" ca="1" si="310"/>
        <v>0</v>
      </c>
      <c r="S688" s="307">
        <f t="shared" ca="1" si="311"/>
        <v>12.409999999999973</v>
      </c>
      <c r="T688" s="304">
        <f t="shared" ca="1" si="291"/>
        <v>121.74209999999975</v>
      </c>
      <c r="U688" s="311">
        <f t="shared" ca="1" si="292"/>
        <v>0</v>
      </c>
      <c r="V688" s="306">
        <f t="shared" ca="1" si="293"/>
        <v>0.99047702797245363</v>
      </c>
      <c r="W688" s="304">
        <f t="shared" ca="1" si="294"/>
        <v>4.2224397500539634</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3.8597740188776135</v>
      </c>
      <c r="AH688" s="304">
        <f t="shared" ca="1" si="318"/>
        <v>-0.3339876905455933</v>
      </c>
    </row>
    <row r="689" spans="1:34" x14ac:dyDescent="0.25">
      <c r="A689" s="347">
        <f t="shared" ca="1" si="296"/>
        <v>0.1</v>
      </c>
      <c r="B689" s="304">
        <f t="shared" ca="1" si="297"/>
        <v>23.500000000000004</v>
      </c>
      <c r="D689" s="306">
        <f t="shared" ca="1" si="298"/>
        <v>-0.30453660648933129</v>
      </c>
      <c r="E689" s="307">
        <f t="shared" ca="1" si="299"/>
        <v>-9.6582631325217196</v>
      </c>
      <c r="F689" s="304">
        <f t="shared" ca="1" si="300"/>
        <v>9.6630631417641215</v>
      </c>
      <c r="G689" s="306">
        <f t="shared" ca="1" si="301"/>
        <v>38.642494391852139</v>
      </c>
      <c r="H689" s="307">
        <f t="shared" ca="1" si="302"/>
        <v>-20.234813583071194</v>
      </c>
      <c r="I689" s="304">
        <f t="shared" ca="1" si="303"/>
        <v>43.619835551798751</v>
      </c>
      <c r="J689" s="306">
        <f t="shared" ca="1" si="304"/>
        <v>971.54405582402956</v>
      </c>
      <c r="K689" s="307">
        <f t="shared" ca="1" si="305"/>
        <v>2115.1577710892143</v>
      </c>
      <c r="L689" s="304">
        <f t="shared" ca="1" si="290"/>
        <v>2327.6147123194805</v>
      </c>
      <c r="M689" s="306">
        <f t="shared" ca="1" si="306"/>
        <v>-0.4823814351270555</v>
      </c>
      <c r="N689" s="304">
        <f t="shared" ca="1" si="307"/>
        <v>-27.638420348243997</v>
      </c>
      <c r="P689" s="310">
        <f t="shared" ca="1" si="308"/>
        <v>23</v>
      </c>
      <c r="Q689" s="304">
        <f t="shared" ca="1" si="309"/>
        <v>0</v>
      </c>
      <c r="R689" s="306">
        <f t="shared" ca="1" si="310"/>
        <v>0</v>
      </c>
      <c r="S689" s="307">
        <f t="shared" ca="1" si="311"/>
        <v>12.409999999999973</v>
      </c>
      <c r="T689" s="304">
        <f t="shared" ca="1" si="291"/>
        <v>121.74209999999975</v>
      </c>
      <c r="U689" s="311">
        <f t="shared" ca="1" si="292"/>
        <v>0</v>
      </c>
      <c r="V689" s="306">
        <f t="shared" ca="1" si="293"/>
        <v>0.99067490077131171</v>
      </c>
      <c r="W689" s="304">
        <f t="shared" ca="1" si="294"/>
        <v>4.3042684591668499</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4.0346581900679324</v>
      </c>
      <c r="AH689" s="304">
        <f t="shared" ca="1" si="318"/>
        <v>-0.34024494359822499</v>
      </c>
    </row>
    <row r="690" spans="1:34" x14ac:dyDescent="0.25">
      <c r="A690" s="347">
        <f t="shared" ca="1" si="296"/>
        <v>0.1</v>
      </c>
      <c r="B690" s="304">
        <f t="shared" ca="1" si="297"/>
        <v>23.600000000000005</v>
      </c>
      <c r="D690" s="306">
        <f t="shared" ca="1" si="298"/>
        <v>-0.30726189011153721</v>
      </c>
      <c r="E690" s="307">
        <f t="shared" ca="1" si="299"/>
        <v>-9.6491049241143187</v>
      </c>
      <c r="F690" s="304">
        <f t="shared" ca="1" si="300"/>
        <v>9.6539958413955258</v>
      </c>
      <c r="G690" s="306">
        <f t="shared" ca="1" si="301"/>
        <v>38.611768202840985</v>
      </c>
      <c r="H690" s="307">
        <f t="shared" ca="1" si="302"/>
        <v>-21.199724075482624</v>
      </c>
      <c r="I690" s="304">
        <f t="shared" ca="1" si="303"/>
        <v>44.048801852337817</v>
      </c>
      <c r="J690" s="306">
        <f t="shared" ca="1" si="304"/>
        <v>975.40676895376419</v>
      </c>
      <c r="K690" s="307">
        <f t="shared" ca="1" si="305"/>
        <v>2113.0860442062867</v>
      </c>
      <c r="L690" s="304">
        <f t="shared" ca="1" si="290"/>
        <v>2327.3484902653049</v>
      </c>
      <c r="M690" s="306">
        <f t="shared" ca="1" si="306"/>
        <v>-0.50211221335639833</v>
      </c>
      <c r="N690" s="304">
        <f t="shared" ca="1" si="307"/>
        <v>-28.768910667293948</v>
      </c>
      <c r="P690" s="310">
        <f t="shared" ca="1" si="308"/>
        <v>23</v>
      </c>
      <c r="Q690" s="304">
        <f t="shared" ca="1" si="309"/>
        <v>0</v>
      </c>
      <c r="R690" s="306">
        <f t="shared" ca="1" si="310"/>
        <v>0</v>
      </c>
      <c r="S690" s="307">
        <f t="shared" ca="1" si="311"/>
        <v>12.409999999999973</v>
      </c>
      <c r="T690" s="304">
        <f t="shared" ca="1" si="291"/>
        <v>121.74209999999975</v>
      </c>
      <c r="U690" s="311">
        <f t="shared" ca="1" si="292"/>
        <v>0</v>
      </c>
      <c r="V690" s="306">
        <f t="shared" ca="1" si="293"/>
        <v>0.9908824825284025</v>
      </c>
      <c r="W690" s="304">
        <f t="shared" ca="1" si="294"/>
        <v>4.3902625518288554</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4.2039239992027149</v>
      </c>
      <c r="AH690" s="304">
        <f t="shared" ca="1" si="318"/>
        <v>-0.34683871548483958</v>
      </c>
    </row>
    <row r="691" spans="1:34" x14ac:dyDescent="0.25">
      <c r="A691" s="347">
        <f t="shared" ca="1" si="296"/>
        <v>0.1</v>
      </c>
      <c r="B691" s="304">
        <f t="shared" ca="1" si="297"/>
        <v>23.700000000000006</v>
      </c>
      <c r="D691" s="306">
        <f t="shared" ca="1" si="298"/>
        <v>-0.31010181073724108</v>
      </c>
      <c r="E691" s="307">
        <f t="shared" ca="1" si="299"/>
        <v>-9.6397391409685991</v>
      </c>
      <c r="F691" s="304">
        <f t="shared" ca="1" si="300"/>
        <v>9.6447257005549165</v>
      </c>
      <c r="G691" s="306">
        <f t="shared" ca="1" si="301"/>
        <v>38.580758021767259</v>
      </c>
      <c r="H691" s="307">
        <f t="shared" ca="1" si="302"/>
        <v>-22.163697989579486</v>
      </c>
      <c r="I691" s="304">
        <f t="shared" ca="1" si="303"/>
        <v>44.493869219336823</v>
      </c>
      <c r="J691" s="306">
        <f t="shared" ca="1" si="304"/>
        <v>979.26639526499457</v>
      </c>
      <c r="K691" s="307">
        <f t="shared" ca="1" si="305"/>
        <v>2110.9178731030338</v>
      </c>
      <c r="L691" s="304">
        <f t="shared" ca="1" si="290"/>
        <v>2327.0017060331375</v>
      </c>
      <c r="M691" s="306">
        <f t="shared" ca="1" si="306"/>
        <v>-0.52143997065740189</v>
      </c>
      <c r="N691" s="304">
        <f t="shared" ca="1" si="307"/>
        <v>-29.876309588094614</v>
      </c>
      <c r="P691" s="310">
        <f t="shared" ca="1" si="308"/>
        <v>23</v>
      </c>
      <c r="Q691" s="304">
        <f t="shared" ca="1" si="309"/>
        <v>0</v>
      </c>
      <c r="R691" s="306">
        <f t="shared" ca="1" si="310"/>
        <v>0</v>
      </c>
      <c r="S691" s="307">
        <f t="shared" ca="1" si="311"/>
        <v>12.409999999999973</v>
      </c>
      <c r="T691" s="304">
        <f t="shared" ca="1" si="291"/>
        <v>121.74209999999975</v>
      </c>
      <c r="U691" s="311">
        <f t="shared" ca="1" si="292"/>
        <v>0</v>
      </c>
      <c r="V691" s="306">
        <f t="shared" ca="1" si="293"/>
        <v>0.99109976940877531</v>
      </c>
      <c r="W691" s="304">
        <f t="shared" ca="1" si="294"/>
        <v>4.4804111122927592</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4.3675701181980271</v>
      </c>
      <c r="AH691" s="304">
        <f t="shared" ca="1" si="318"/>
        <v>-0.35376813471626628</v>
      </c>
    </row>
    <row r="692" spans="1:34" x14ac:dyDescent="0.25">
      <c r="A692" s="347">
        <f t="shared" ca="1" si="296"/>
        <v>0.1</v>
      </c>
      <c r="B692" s="304">
        <f t="shared" ca="1" si="297"/>
        <v>23.800000000000008</v>
      </c>
      <c r="D692" s="306">
        <f t="shared" ca="1" si="298"/>
        <v>-0.31305213248296121</v>
      </c>
      <c r="E692" s="307">
        <f t="shared" ca="1" si="299"/>
        <v>-9.630159238047332</v>
      </c>
      <c r="F692" s="304">
        <f t="shared" ca="1" si="300"/>
        <v>9.6352461612457265</v>
      </c>
      <c r="G692" s="306">
        <f t="shared" ca="1" si="301"/>
        <v>38.549452808518964</v>
      </c>
      <c r="H692" s="307">
        <f t="shared" ca="1" si="302"/>
        <v>-23.126713913384219</v>
      </c>
      <c r="I692" s="304">
        <f t="shared" ca="1" si="303"/>
        <v>44.954479290363821</v>
      </c>
      <c r="J692" s="306">
        <f t="shared" ca="1" si="304"/>
        <v>983.12290580650892</v>
      </c>
      <c r="K692" s="307">
        <f t="shared" ca="1" si="305"/>
        <v>2108.6533525078858</v>
      </c>
      <c r="L692" s="304">
        <f t="shared" ca="1" si="290"/>
        <v>2326.5746514917978</v>
      </c>
      <c r="M692" s="306">
        <f t="shared" ca="1" si="306"/>
        <v>-0.54036308168063951</v>
      </c>
      <c r="N692" s="304">
        <f t="shared" ca="1" si="307"/>
        <v>-30.960523984983617</v>
      </c>
      <c r="P692" s="310">
        <f t="shared" ca="1" si="308"/>
        <v>23</v>
      </c>
      <c r="Q692" s="304">
        <f t="shared" ca="1" si="309"/>
        <v>0</v>
      </c>
      <c r="R692" s="306">
        <f t="shared" ca="1" si="310"/>
        <v>0</v>
      </c>
      <c r="S692" s="307">
        <f t="shared" ca="1" si="311"/>
        <v>12.409999999999973</v>
      </c>
      <c r="T692" s="304">
        <f t="shared" ca="1" si="291"/>
        <v>121.74209999999975</v>
      </c>
      <c r="U692" s="311">
        <f t="shared" ca="1" si="292"/>
        <v>0</v>
      </c>
      <c r="V692" s="306">
        <f t="shared" ca="1" si="293"/>
        <v>0.99132675761509959</v>
      </c>
      <c r="W692" s="304">
        <f t="shared" ca="1" si="294"/>
        <v>4.5747031116420533</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4.5256156838031432</v>
      </c>
      <c r="AH692" s="304">
        <f t="shared" ca="1" si="318"/>
        <v>-0.36103232169965904</v>
      </c>
    </row>
    <row r="693" spans="1:34" x14ac:dyDescent="0.25">
      <c r="A693" s="347">
        <f t="shared" ca="1" si="296"/>
        <v>0.1</v>
      </c>
      <c r="B693" s="304">
        <f t="shared" ca="1" si="297"/>
        <v>23.900000000000009</v>
      </c>
      <c r="D693" s="306">
        <f t="shared" ca="1" si="298"/>
        <v>-0.31610864945239786</v>
      </c>
      <c r="E693" s="307">
        <f t="shared" ca="1" si="299"/>
        <v>-9.6203590642973715</v>
      </c>
      <c r="F693" s="304">
        <f t="shared" ca="1" si="300"/>
        <v>9.6255510597714462</v>
      </c>
      <c r="G693" s="306">
        <f t="shared" ca="1" si="301"/>
        <v>38.517841943573721</v>
      </c>
      <c r="H693" s="307">
        <f t="shared" ca="1" si="302"/>
        <v>-24.088749819813955</v>
      </c>
      <c r="I693" s="304">
        <f t="shared" ca="1" si="303"/>
        <v>45.430078316812462</v>
      </c>
      <c r="J693" s="306">
        <f t="shared" ca="1" si="304"/>
        <v>986.9762705441135</v>
      </c>
      <c r="K693" s="307">
        <f t="shared" ca="1" si="305"/>
        <v>2106.2925793212257</v>
      </c>
      <c r="L693" s="304">
        <f t="shared" ca="1" si="290"/>
        <v>2326.0676233336012</v>
      </c>
      <c r="M693" s="306">
        <f t="shared" ca="1" si="306"/>
        <v>-0.55888114606331629</v>
      </c>
      <c r="N693" s="304">
        <f t="shared" ca="1" si="307"/>
        <v>-32.021530918862524</v>
      </c>
      <c r="P693" s="310">
        <f t="shared" ca="1" si="308"/>
        <v>23</v>
      </c>
      <c r="Q693" s="304">
        <f t="shared" ca="1" si="309"/>
        <v>0</v>
      </c>
      <c r="R693" s="306">
        <f t="shared" ca="1" si="310"/>
        <v>0</v>
      </c>
      <c r="S693" s="307">
        <f t="shared" ca="1" si="311"/>
        <v>12.409999999999973</v>
      </c>
      <c r="T693" s="304">
        <f t="shared" ca="1" si="291"/>
        <v>121.74209999999975</v>
      </c>
      <c r="U693" s="311">
        <f t="shared" ca="1" si="292"/>
        <v>0</v>
      </c>
      <c r="V693" s="306">
        <f t="shared" ca="1" si="293"/>
        <v>0.99156344338063329</v>
      </c>
      <c r="W693" s="304">
        <f t="shared" ca="1" si="294"/>
        <v>4.6731273959073878</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4.6780983714939195</v>
      </c>
      <c r="AH693" s="304">
        <f t="shared" ca="1" si="318"/>
        <v>-0.36863038772297041</v>
      </c>
    </row>
    <row r="694" spans="1:34" x14ac:dyDescent="0.25">
      <c r="A694" s="347">
        <f t="shared" ca="1" si="296"/>
        <v>0.1</v>
      </c>
      <c r="B694" s="304">
        <f t="shared" ca="1" si="297"/>
        <v>24.000000000000011</v>
      </c>
      <c r="D694" s="306">
        <f t="shared" ca="1" si="298"/>
        <v>-0.31926719772764756</v>
      </c>
      <c r="E694" s="307">
        <f t="shared" ca="1" si="299"/>
        <v>-9.61033285190274</v>
      </c>
      <c r="F694" s="304">
        <f t="shared" ca="1" si="300"/>
        <v>9.6156346159734003</v>
      </c>
      <c r="G694" s="306">
        <f t="shared" ca="1" si="301"/>
        <v>38.485915223800959</v>
      </c>
      <c r="H694" s="307">
        <f t="shared" ca="1" si="302"/>
        <v>-25.049783105004231</v>
      </c>
      <c r="I694" s="304">
        <f t="shared" ca="1" si="303"/>
        <v>45.920118730479665</v>
      </c>
      <c r="J694" s="306">
        <f t="shared" ca="1" si="304"/>
        <v>990.82645840248222</v>
      </c>
      <c r="K694" s="307">
        <f t="shared" ca="1" si="305"/>
        <v>2103.8356526749849</v>
      </c>
      <c r="L694" s="304">
        <f t="shared" ca="1" si="290"/>
        <v>2325.4809231934769</v>
      </c>
      <c r="M694" s="306">
        <f t="shared" ca="1" si="306"/>
        <v>-0.57699488965432855</v>
      </c>
      <c r="N694" s="304">
        <f t="shared" ca="1" si="307"/>
        <v>-33.059371977809676</v>
      </c>
      <c r="P694" s="310">
        <f t="shared" ca="1" si="308"/>
        <v>23</v>
      </c>
      <c r="Q694" s="304">
        <f t="shared" ca="1" si="309"/>
        <v>0</v>
      </c>
      <c r="R694" s="306">
        <f t="shared" ca="1" si="310"/>
        <v>0</v>
      </c>
      <c r="S694" s="307">
        <f t="shared" ca="1" si="311"/>
        <v>12.409999999999973</v>
      </c>
      <c r="T694" s="304">
        <f t="shared" ca="1" si="291"/>
        <v>121.74209999999975</v>
      </c>
      <c r="U694" s="311">
        <f t="shared" ca="1" si="292"/>
        <v>0</v>
      </c>
      <c r="V694" s="306">
        <f t="shared" ca="1" si="293"/>
        <v>0.99180982296256215</v>
      </c>
      <c r="W694" s="304">
        <f t="shared" ca="1" si="294"/>
        <v>4.7756726748814389</v>
      </c>
      <c r="Y694" s="314" t="str">
        <f t="shared" ca="1" si="312"/>
        <v/>
      </c>
      <c r="Z694" s="315" t="str">
        <f t="shared" ca="1" si="313"/>
        <v/>
      </c>
      <c r="AA694" s="316" t="str">
        <f t="shared" ca="1" si="314"/>
        <v/>
      </c>
      <c r="AC694" s="310">
        <f t="shared" ca="1" si="315"/>
        <v>24.000000000000011</v>
      </c>
      <c r="AD694" s="323">
        <f t="shared" ca="1" si="316"/>
        <v>990.82645840248222</v>
      </c>
      <c r="AE694" s="324" t="e">
        <f t="shared" ca="1" si="295"/>
        <v>#N/A</v>
      </c>
      <c r="AG694" s="306">
        <f t="shared" ca="1" si="317"/>
        <v>4.8250724721656866</v>
      </c>
      <c r="AH694" s="304">
        <f t="shared" ca="1" si="318"/>
        <v>-0.37656143399737291</v>
      </c>
    </row>
    <row r="695" spans="1:34" x14ac:dyDescent="0.25">
      <c r="A695" s="347">
        <f t="shared" ca="1" si="296"/>
        <v>0.1</v>
      </c>
      <c r="B695" s="304">
        <f t="shared" ca="1" si="297"/>
        <v>24.100000000000012</v>
      </c>
      <c r="D695" s="306">
        <f t="shared" ca="1" si="298"/>
        <v>-0.32252366600700244</v>
      </c>
      <c r="E695" s="307">
        <f t="shared" ca="1" si="299"/>
        <v>-9.6000752045852398</v>
      </c>
      <c r="F695" s="304">
        <f t="shared" ca="1" si="300"/>
        <v>9.6054914215164935</v>
      </c>
      <c r="G695" s="306">
        <f t="shared" ca="1" si="301"/>
        <v>38.453662857200257</v>
      </c>
      <c r="H695" s="307">
        <f t="shared" ca="1" si="302"/>
        <v>-26.009790625462756</v>
      </c>
      <c r="I695" s="304">
        <f t="shared" ca="1" si="303"/>
        <v>46.424060523780476</v>
      </c>
      <c r="J695" s="306">
        <f t="shared" ca="1" si="304"/>
        <v>994.67343730653226</v>
      </c>
      <c r="K695" s="307">
        <f t="shared" ca="1" si="305"/>
        <v>2101.2826739884617</v>
      </c>
      <c r="L695" s="304">
        <f t="shared" ca="1" si="290"/>
        <v>2324.8148577655152</v>
      </c>
      <c r="M695" s="306">
        <f t="shared" ca="1" si="306"/>
        <v>-0.59470606594000075</v>
      </c>
      <c r="N695" s="304">
        <f t="shared" ca="1" si="307"/>
        <v>-34.074147629190882</v>
      </c>
      <c r="P695" s="310">
        <f t="shared" ca="1" si="308"/>
        <v>23</v>
      </c>
      <c r="Q695" s="304">
        <f t="shared" ca="1" si="309"/>
        <v>0</v>
      </c>
      <c r="R695" s="306">
        <f t="shared" ca="1" si="310"/>
        <v>0</v>
      </c>
      <c r="S695" s="307">
        <f t="shared" ca="1" si="311"/>
        <v>12.409999999999973</v>
      </c>
      <c r="T695" s="304">
        <f t="shared" ca="1" si="291"/>
        <v>121.74209999999975</v>
      </c>
      <c r="U695" s="311">
        <f t="shared" ca="1" si="292"/>
        <v>0</v>
      </c>
      <c r="V695" s="306">
        <f t="shared" ca="1" si="293"/>
        <v>0.99206589263569278</v>
      </c>
      <c r="W695" s="304">
        <f t="shared" ca="1" si="294"/>
        <v>4.8823275116099065</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4.9666070015536317</v>
      </c>
      <c r="AH695" s="304">
        <f t="shared" ca="1" si="318"/>
        <v>-0.38482455075595884</v>
      </c>
    </row>
    <row r="696" spans="1:34" x14ac:dyDescent="0.25">
      <c r="A696" s="347">
        <f t="shared" ca="1" si="296"/>
        <v>0.1</v>
      </c>
      <c r="B696" s="304">
        <f t="shared" ca="1" si="297"/>
        <v>24.200000000000014</v>
      </c>
      <c r="D696" s="306">
        <f t="shared" ca="1" si="298"/>
        <v>-0.32587400492555257</v>
      </c>
      <c r="E696" s="307">
        <f t="shared" ca="1" si="299"/>
        <v>-9.5895810851655305</v>
      </c>
      <c r="F696" s="304">
        <f t="shared" ca="1" si="300"/>
        <v>9.595116427435924</v>
      </c>
      <c r="G696" s="306">
        <f t="shared" ca="1" si="301"/>
        <v>38.421075456707705</v>
      </c>
      <c r="H696" s="307">
        <f t="shared" ca="1" si="302"/>
        <v>-26.968748733979311</v>
      </c>
      <c r="I696" s="304">
        <f t="shared" ca="1" si="303"/>
        <v>46.941372450393246</v>
      </c>
      <c r="J696" s="306">
        <f t="shared" ca="1" si="304"/>
        <v>998.51717422222771</v>
      </c>
      <c r="K696" s="307">
        <f t="shared" ca="1" si="305"/>
        <v>2098.6337470204894</v>
      </c>
      <c r="L696" s="304">
        <f t="shared" ca="1" si="290"/>
        <v>2324.0697389170577</v>
      </c>
      <c r="M696" s="306">
        <f t="shared" ca="1" si="306"/>
        <v>-0.61201735892358688</v>
      </c>
      <c r="N696" s="304">
        <f t="shared" ca="1" si="307"/>
        <v>-35.066011655064798</v>
      </c>
      <c r="P696" s="310">
        <f t="shared" ca="1" si="308"/>
        <v>23</v>
      </c>
      <c r="Q696" s="304">
        <f t="shared" ca="1" si="309"/>
        <v>0</v>
      </c>
      <c r="R696" s="306">
        <f t="shared" ca="1" si="310"/>
        <v>0</v>
      </c>
      <c r="S696" s="307">
        <f t="shared" ca="1" si="311"/>
        <v>12.409999999999973</v>
      </c>
      <c r="T696" s="304">
        <f t="shared" ca="1" si="291"/>
        <v>121.74209999999975</v>
      </c>
      <c r="U696" s="311">
        <f t="shared" ca="1" si="292"/>
        <v>0</v>
      </c>
      <c r="V696" s="306">
        <f t="shared" ca="1" si="293"/>
        <v>0.99233164868649693</v>
      </c>
      <c r="W696" s="304">
        <f t="shared" ca="1" si="294"/>
        <v>4.9930803125351284</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5.1027838672227723</v>
      </c>
      <c r="AH696" s="304">
        <f t="shared" ca="1" si="318"/>
        <v>-0.39341881640692322</v>
      </c>
    </row>
    <row r="697" spans="1:34" x14ac:dyDescent="0.25">
      <c r="A697" s="347">
        <f t="shared" ca="1" si="296"/>
        <v>0.1</v>
      </c>
      <c r="B697" s="304">
        <f t="shared" ca="1" si="297"/>
        <v>24.300000000000015</v>
      </c>
      <c r="D697" s="306">
        <f t="shared" ca="1" si="298"/>
        <v>-0.32931423511016245</v>
      </c>
      <c r="E697" s="307">
        <f t="shared" ca="1" si="299"/>
        <v>-9.5788458025800001</v>
      </c>
      <c r="F697" s="304">
        <f t="shared" ca="1" si="300"/>
        <v>9.5845049311401933</v>
      </c>
      <c r="G697" s="306">
        <f t="shared" ca="1" si="301"/>
        <v>38.388144033196689</v>
      </c>
      <c r="H697" s="307">
        <f t="shared" ca="1" si="302"/>
        <v>-27.926633314237311</v>
      </c>
      <c r="I697" s="304">
        <f t="shared" ca="1" si="303"/>
        <v>47.471533054887999</v>
      </c>
      <c r="J697" s="306">
        <f t="shared" ca="1" si="304"/>
        <v>1002.357635196723</v>
      </c>
      <c r="K697" s="307">
        <f t="shared" ca="1" si="305"/>
        <v>2095.8889779180786</v>
      </c>
      <c r="L697" s="304">
        <f t="shared" ca="1" si="290"/>
        <v>2323.2458838004331</v>
      </c>
      <c r="M697" s="306">
        <f t="shared" ca="1" si="306"/>
        <v>-0.62893228850620608</v>
      </c>
      <c r="N697" s="304">
        <f t="shared" ca="1" si="307"/>
        <v>-36.03516573090986</v>
      </c>
      <c r="P697" s="310">
        <f t="shared" ca="1" si="308"/>
        <v>23</v>
      </c>
      <c r="Q697" s="304">
        <f t="shared" ca="1" si="309"/>
        <v>0</v>
      </c>
      <c r="R697" s="306">
        <f t="shared" ca="1" si="310"/>
        <v>0</v>
      </c>
      <c r="S697" s="307">
        <f t="shared" ca="1" si="311"/>
        <v>12.409999999999973</v>
      </c>
      <c r="T697" s="304">
        <f t="shared" ca="1" si="291"/>
        <v>121.74209999999975</v>
      </c>
      <c r="U697" s="311">
        <f t="shared" ca="1" si="292"/>
        <v>0</v>
      </c>
      <c r="V697" s="306">
        <f t="shared" ca="1" si="293"/>
        <v>0.99260708740748227</v>
      </c>
      <c r="W697" s="304">
        <f t="shared" ca="1" si="294"/>
        <v>5.1079193182678271</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5.2336961130568458</v>
      </c>
      <c r="AH697" s="304">
        <f t="shared" ca="1" si="318"/>
        <v>-0.40234329673933433</v>
      </c>
    </row>
    <row r="698" spans="1:34" x14ac:dyDescent="0.25">
      <c r="A698" s="347">
        <f t="shared" ca="1" si="296"/>
        <v>0.1</v>
      </c>
      <c r="B698" s="304">
        <f t="shared" ca="1" si="297"/>
        <v>24.400000000000016</v>
      </c>
      <c r="D698" s="306">
        <f t="shared" ca="1" si="298"/>
        <v>-0.33284045403236662</v>
      </c>
      <c r="E698" s="307">
        <f t="shared" ca="1" si="299"/>
        <v>-9.5678649985300659</v>
      </c>
      <c r="F698" s="304">
        <f t="shared" ca="1" si="300"/>
        <v>9.5736525630470428</v>
      </c>
      <c r="G698" s="306">
        <f t="shared" ca="1" si="301"/>
        <v>38.354859987793454</v>
      </c>
      <c r="H698" s="307">
        <f t="shared" ca="1" si="302"/>
        <v>-28.883419814090317</v>
      </c>
      <c r="I698" s="304">
        <f t="shared" ca="1" si="303"/>
        <v>48.014031541209121</v>
      </c>
      <c r="J698" s="306">
        <f t="shared" ca="1" si="304"/>
        <v>1006.1947853977725</v>
      </c>
      <c r="K698" s="307">
        <f t="shared" ca="1" si="305"/>
        <v>2093.0484752616621</v>
      </c>
      <c r="L698" s="304">
        <f t="shared" ca="1" si="290"/>
        <v>2322.3436149624454</v>
      </c>
      <c r="M698" s="306">
        <f t="shared" ca="1" si="306"/>
        <v>-0.64545511922081611</v>
      </c>
      <c r="N698" s="304">
        <f t="shared" ca="1" si="307"/>
        <v>-36.981854196466145</v>
      </c>
      <c r="P698" s="310">
        <f t="shared" ca="1" si="308"/>
        <v>23</v>
      </c>
      <c r="Q698" s="304">
        <f t="shared" ca="1" si="309"/>
        <v>0</v>
      </c>
      <c r="R698" s="306">
        <f t="shared" ca="1" si="310"/>
        <v>0</v>
      </c>
      <c r="S698" s="307">
        <f t="shared" ca="1" si="311"/>
        <v>12.409999999999973</v>
      </c>
      <c r="T698" s="304">
        <f t="shared" ca="1" si="291"/>
        <v>121.74209999999975</v>
      </c>
      <c r="U698" s="311">
        <f t="shared" ca="1" si="292"/>
        <v>0</v>
      </c>
      <c r="V698" s="306">
        <f t="shared" ca="1" si="293"/>
        <v>0.99289220509188536</v>
      </c>
      <c r="W698" s="304">
        <f t="shared" ca="1" si="294"/>
        <v>5.2268325949620236</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5.3594462565688907</v>
      </c>
      <c r="AH698" s="304">
        <f t="shared" ca="1" si="318"/>
        <v>-0.41159704417951959</v>
      </c>
    </row>
    <row r="699" spans="1:34" x14ac:dyDescent="0.25">
      <c r="A699" s="347">
        <f t="shared" ca="1" si="296"/>
        <v>0.1</v>
      </c>
      <c r="B699" s="304">
        <f t="shared" ca="1" si="297"/>
        <v>24.500000000000018</v>
      </c>
      <c r="D699" s="306">
        <f t="shared" ca="1" si="298"/>
        <v>-0.33644884173160233</v>
      </c>
      <c r="E699" s="307">
        <f t="shared" ca="1" si="299"/>
        <v>-9.5566346339214636</v>
      </c>
      <c r="F699" s="304">
        <f t="shared" ca="1" si="300"/>
        <v>9.5625552730099166</v>
      </c>
      <c r="G699" s="306">
        <f t="shared" ca="1" si="301"/>
        <v>38.321215103620297</v>
      </c>
      <c r="H699" s="307">
        <f t="shared" ca="1" si="302"/>
        <v>-29.839083277482462</v>
      </c>
      <c r="I699" s="304">
        <f t="shared" ca="1" si="303"/>
        <v>48.568368490803458</v>
      </c>
      <c r="J699" s="306">
        <f t="shared" ca="1" si="304"/>
        <v>1010.0285891523432</v>
      </c>
      <c r="K699" s="307">
        <f t="shared" ca="1" si="305"/>
        <v>2090.1123501070833</v>
      </c>
      <c r="L699" s="304">
        <f t="shared" ca="1" si="290"/>
        <v>2321.3632604517607</v>
      </c>
      <c r="M699" s="306">
        <f t="shared" ca="1" si="306"/>
        <v>-0.66159077298810054</v>
      </c>
      <c r="N699" s="304">
        <f t="shared" ca="1" si="307"/>
        <v>-37.906359057015912</v>
      </c>
      <c r="P699" s="310">
        <f t="shared" ca="1" si="308"/>
        <v>23</v>
      </c>
      <c r="Q699" s="304">
        <f t="shared" ca="1" si="309"/>
        <v>0</v>
      </c>
      <c r="R699" s="306">
        <f t="shared" ca="1" si="310"/>
        <v>0</v>
      </c>
      <c r="S699" s="307">
        <f t="shared" ca="1" si="311"/>
        <v>12.409999999999973</v>
      </c>
      <c r="T699" s="304">
        <f t="shared" ca="1" si="291"/>
        <v>121.74209999999975</v>
      </c>
      <c r="U699" s="311">
        <f t="shared" ca="1" si="292"/>
        <v>0</v>
      </c>
      <c r="V699" s="306">
        <f t="shared" ca="1" si="293"/>
        <v>0.99318699802866639</v>
      </c>
      <c r="W699" s="304">
        <f t="shared" ca="1" si="294"/>
        <v>5.349808026267727</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5.4801447301488553</v>
      </c>
      <c r="AH699" s="304">
        <f t="shared" ca="1" si="318"/>
        <v>-0.42117909709605439</v>
      </c>
    </row>
    <row r="700" spans="1:34" x14ac:dyDescent="0.25">
      <c r="A700" s="347">
        <f t="shared" ca="1" si="296"/>
        <v>0.1</v>
      </c>
      <c r="B700" s="304">
        <f t="shared" ca="1" si="297"/>
        <v>24.600000000000019</v>
      </c>
      <c r="D700" s="306">
        <f t="shared" ca="1" si="298"/>
        <v>-0.34013566548725843</v>
      </c>
      <c r="E700" s="307">
        <f t="shared" ca="1" si="299"/>
        <v>-9.5451509752320618</v>
      </c>
      <c r="F700" s="304">
        <f t="shared" ca="1" si="300"/>
        <v>9.551209316673468</v>
      </c>
      <c r="G700" s="306">
        <f t="shared" ca="1" si="301"/>
        <v>38.287201537071574</v>
      </c>
      <c r="H700" s="307">
        <f t="shared" ca="1" si="302"/>
        <v>-30.793598375005669</v>
      </c>
      <c r="I700" s="304">
        <f t="shared" ca="1" si="303"/>
        <v>49.134056441754204</v>
      </c>
      <c r="J700" s="306">
        <f t="shared" ca="1" si="304"/>
        <v>1013.8590099843778</v>
      </c>
      <c r="K700" s="307">
        <f t="shared" ca="1" si="305"/>
        <v>2087.080716024459</v>
      </c>
      <c r="L700" s="304">
        <f t="shared" ca="1" si="290"/>
        <v>2320.3051539243002</v>
      </c>
      <c r="M700" s="306">
        <f t="shared" ca="1" si="306"/>
        <v>-0.67734474639643005</v>
      </c>
      <c r="N700" s="304">
        <f t="shared" ca="1" si="307"/>
        <v>-38.80899524387452</v>
      </c>
      <c r="P700" s="310">
        <f t="shared" ca="1" si="308"/>
        <v>23</v>
      </c>
      <c r="Q700" s="304">
        <f t="shared" ca="1" si="309"/>
        <v>0</v>
      </c>
      <c r="R700" s="306">
        <f t="shared" ca="1" si="310"/>
        <v>0</v>
      </c>
      <c r="S700" s="307">
        <f t="shared" ca="1" si="311"/>
        <v>12.409999999999973</v>
      </c>
      <c r="T700" s="304">
        <f t="shared" ca="1" si="291"/>
        <v>121.74209999999975</v>
      </c>
      <c r="U700" s="311">
        <f t="shared" ca="1" si="292"/>
        <v>0</v>
      </c>
      <c r="V700" s="306">
        <f t="shared" ca="1" si="293"/>
        <v>0.99349146249779752</v>
      </c>
      <c r="W700" s="304">
        <f t="shared" ca="1" si="294"/>
        <v>5.4768333058360552</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5.5959084336136424</v>
      </c>
      <c r="AH700" s="304">
        <f t="shared" ca="1" si="318"/>
        <v>-0.43108847915130849</v>
      </c>
    </row>
    <row r="701" spans="1:34" x14ac:dyDescent="0.25">
      <c r="A701" s="347">
        <f t="shared" ca="1" si="296"/>
        <v>0.1</v>
      </c>
      <c r="B701" s="304">
        <f t="shared" ca="1" si="297"/>
        <v>24.700000000000021</v>
      </c>
      <c r="D701" s="306">
        <f t="shared" ca="1" si="298"/>
        <v>-0.34389728352163751</v>
      </c>
      <c r="E701" s="307">
        <f t="shared" ca="1" si="299"/>
        <v>-9.5334105809282743</v>
      </c>
      <c r="F701" s="304">
        <f t="shared" ca="1" si="300"/>
        <v>9.5396112418781893</v>
      </c>
      <c r="G701" s="306">
        <f t="shared" ca="1" si="301"/>
        <v>38.252811808719407</v>
      </c>
      <c r="H701" s="307">
        <f t="shared" ca="1" si="302"/>
        <v>-31.746939433098497</v>
      </c>
      <c r="I701" s="304">
        <f t="shared" ca="1" si="303"/>
        <v>49.710620340548232</v>
      </c>
      <c r="J701" s="306">
        <f t="shared" ca="1" si="304"/>
        <v>1017.6860106516674</v>
      </c>
      <c r="K701" s="307">
        <f t="shared" ca="1" si="305"/>
        <v>2083.9536891340535</v>
      </c>
      <c r="L701" s="304">
        <f t="shared" ca="1" si="290"/>
        <v>2319.1696347467855</v>
      </c>
      <c r="M701" s="306">
        <f t="shared" ca="1" si="306"/>
        <v>-0.69272303285896852</v>
      </c>
      <c r="N701" s="304">
        <f t="shared" ca="1" si="307"/>
        <v>-39.690106154321143</v>
      </c>
      <c r="P701" s="310">
        <f t="shared" ca="1" si="308"/>
        <v>23</v>
      </c>
      <c r="Q701" s="304">
        <f t="shared" ca="1" si="309"/>
        <v>0</v>
      </c>
      <c r="R701" s="306">
        <f t="shared" ca="1" si="310"/>
        <v>0</v>
      </c>
      <c r="S701" s="307">
        <f t="shared" ca="1" si="311"/>
        <v>12.409999999999973</v>
      </c>
      <c r="T701" s="304">
        <f t="shared" ca="1" si="291"/>
        <v>121.74209999999975</v>
      </c>
      <c r="U701" s="311">
        <f t="shared" ca="1" si="292"/>
        <v>0</v>
      </c>
      <c r="V701" s="306">
        <f t="shared" ca="1" si="293"/>
        <v>0.99380559476582409</v>
      </c>
      <c r="W701" s="304">
        <f t="shared" ca="1" si="294"/>
        <v>5.6078959303515044</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5.7068594021601076</v>
      </c>
      <c r="AH701" s="304">
        <f t="shared" ca="1" si="318"/>
        <v>-0.44132419869750739</v>
      </c>
    </row>
    <row r="702" spans="1:34" x14ac:dyDescent="0.25">
      <c r="A702" s="347">
        <f t="shared" ca="1" si="296"/>
        <v>0.1</v>
      </c>
      <c r="B702" s="304">
        <f t="shared" ca="1" si="297"/>
        <v>24.800000000000022</v>
      </c>
      <c r="D702" s="306">
        <f t="shared" ca="1" si="298"/>
        <v>-0.34773014781743505</v>
      </c>
      <c r="E702" s="307">
        <f t="shared" ca="1" si="299"/>
        <v>-9.5214102880325733</v>
      </c>
      <c r="F702" s="304">
        <f t="shared" ca="1" si="300"/>
        <v>9.5277578752166896</v>
      </c>
      <c r="G702" s="306">
        <f t="shared" ca="1" si="301"/>
        <v>38.218038793937666</v>
      </c>
      <c r="H702" s="307">
        <f t="shared" ca="1" si="302"/>
        <v>-32.699080461901751</v>
      </c>
      <c r="I702" s="304">
        <f t="shared" ca="1" si="303"/>
        <v>50.297597878117891</v>
      </c>
      <c r="J702" s="306">
        <f t="shared" ca="1" si="304"/>
        <v>1021.5095531818002</v>
      </c>
      <c r="K702" s="307">
        <f t="shared" ca="1" si="305"/>
        <v>2080.7313881393034</v>
      </c>
      <c r="L702" s="304">
        <f t="shared" ca="1" si="290"/>
        <v>2317.9570480985608</v>
      </c>
      <c r="M702" s="306">
        <f t="shared" ca="1" si="306"/>
        <v>-0.70773204987016991</v>
      </c>
      <c r="N702" s="304">
        <f t="shared" ca="1" si="307"/>
        <v>-40.550059483703038</v>
      </c>
      <c r="P702" s="310">
        <f t="shared" ca="1" si="308"/>
        <v>23</v>
      </c>
      <c r="Q702" s="304">
        <f t="shared" ca="1" si="309"/>
        <v>0</v>
      </c>
      <c r="R702" s="306">
        <f t="shared" ca="1" si="310"/>
        <v>0</v>
      </c>
      <c r="S702" s="307">
        <f t="shared" ca="1" si="311"/>
        <v>12.409999999999973</v>
      </c>
      <c r="T702" s="304">
        <f t="shared" ca="1" si="291"/>
        <v>121.74209999999975</v>
      </c>
      <c r="U702" s="311">
        <f t="shared" ca="1" si="292"/>
        <v>0</v>
      </c>
      <c r="V702" s="306">
        <f t="shared" ca="1" si="293"/>
        <v>0.99412939108169329</v>
      </c>
      <c r="W702" s="304">
        <f t="shared" ca="1" si="294"/>
        <v>5.7429831930664861</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5.8131235910460104</v>
      </c>
      <c r="AH702" s="304">
        <f t="shared" ca="1" si="318"/>
        <v>-0.45188524821527126</v>
      </c>
    </row>
    <row r="703" spans="1:34" x14ac:dyDescent="0.25">
      <c r="A703" s="347">
        <f t="shared" ca="1" si="296"/>
        <v>0.1</v>
      </c>
      <c r="B703" s="304">
        <f t="shared" ca="1" si="297"/>
        <v>24.900000000000023</v>
      </c>
      <c r="D703" s="306">
        <f t="shared" ca="1" si="298"/>
        <v>-0.3516308061330895</v>
      </c>
      <c r="E703" s="307">
        <f t="shared" ca="1" si="299"/>
        <v>-9.5091471989281366</v>
      </c>
      <c r="F703" s="304">
        <f t="shared" ca="1" si="300"/>
        <v>9.5156463088276162</v>
      </c>
      <c r="G703" s="306">
        <f t="shared" ca="1" si="301"/>
        <v>38.182875713324357</v>
      </c>
      <c r="H703" s="307">
        <f t="shared" ca="1" si="302"/>
        <v>-33.649995181794566</v>
      </c>
      <c r="I703" s="304">
        <f t="shared" ca="1" si="303"/>
        <v>50.894539721604446</v>
      </c>
      <c r="J703" s="306">
        <f t="shared" ca="1" si="304"/>
        <v>1025.3295989071632</v>
      </c>
      <c r="K703" s="307">
        <f t="shared" ca="1" si="305"/>
        <v>2077.4139343571187</v>
      </c>
      <c r="L703" s="304">
        <f t="shared" ca="1" si="290"/>
        <v>2316.6677450718407</v>
      </c>
      <c r="M703" s="306">
        <f t="shared" ca="1" si="306"/>
        <v>-0.72237857147130069</v>
      </c>
      <c r="N703" s="304">
        <f t="shared" ca="1" si="307"/>
        <v>-41.389243355995028</v>
      </c>
      <c r="P703" s="310">
        <f t="shared" ca="1" si="308"/>
        <v>23</v>
      </c>
      <c r="Q703" s="304">
        <f t="shared" ca="1" si="309"/>
        <v>0</v>
      </c>
      <c r="R703" s="306">
        <f t="shared" ca="1" si="310"/>
        <v>0</v>
      </c>
      <c r="S703" s="307">
        <f t="shared" ca="1" si="311"/>
        <v>12.409999999999973</v>
      </c>
      <c r="T703" s="304">
        <f t="shared" ca="1" si="291"/>
        <v>121.74209999999975</v>
      </c>
      <c r="U703" s="311">
        <f t="shared" ca="1" si="292"/>
        <v>0</v>
      </c>
      <c r="V703" s="306">
        <f t="shared" ca="1" si="293"/>
        <v>0.994462847672827</v>
      </c>
      <c r="W703" s="304">
        <f t="shared" ca="1" si="294"/>
        <v>5.8820821778136683</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5.9148297760221631</v>
      </c>
      <c r="AH703" s="304">
        <f t="shared" ca="1" si="318"/>
        <v>-0.4627706037926268</v>
      </c>
    </row>
    <row r="704" spans="1:34" x14ac:dyDescent="0.25">
      <c r="A704" s="347">
        <f t="shared" ca="1" si="296"/>
        <v>0.1</v>
      </c>
      <c r="B704" s="304">
        <f t="shared" ca="1" si="297"/>
        <v>25.000000000000025</v>
      </c>
      <c r="D704" s="306">
        <f t="shared" ca="1" si="298"/>
        <v>-0.3555959032976726</v>
      </c>
      <c r="E704" s="307">
        <f t="shared" ca="1" si="299"/>
        <v>-9.4966186684714025</v>
      </c>
      <c r="F704" s="304">
        <f t="shared" ca="1" si="300"/>
        <v>9.5032738874980147</v>
      </c>
      <c r="G704" s="306">
        <f t="shared" ca="1" si="301"/>
        <v>38.147316122994589</v>
      </c>
      <c r="H704" s="307">
        <f t="shared" ca="1" si="302"/>
        <v>-34.599657048641703</v>
      </c>
      <c r="I704" s="304">
        <f t="shared" ca="1" si="303"/>
        <v>51.501009652931124</v>
      </c>
      <c r="J704" s="306">
        <f t="shared" ca="1" si="304"/>
        <v>1029.1461084989792</v>
      </c>
      <c r="K704" s="307">
        <f t="shared" ca="1" si="305"/>
        <v>2074.001451745597</v>
      </c>
      <c r="L704" s="304">
        <f t="shared" ca="1" si="290"/>
        <v>2315.3020827705045</v>
      </c>
      <c r="M704" s="306">
        <f t="shared" ca="1" si="306"/>
        <v>-0.73666966593956118</v>
      </c>
      <c r="N704" s="304">
        <f t="shared" ca="1" si="307"/>
        <v>-42.208062753649109</v>
      </c>
      <c r="P704" s="310">
        <f t="shared" ca="1" si="308"/>
        <v>23</v>
      </c>
      <c r="Q704" s="304">
        <f t="shared" ca="1" si="309"/>
        <v>0</v>
      </c>
      <c r="R704" s="306">
        <f t="shared" ca="1" si="310"/>
        <v>0</v>
      </c>
      <c r="S704" s="307">
        <f t="shared" ca="1" si="311"/>
        <v>12.409999999999973</v>
      </c>
      <c r="T704" s="304">
        <f t="shared" ca="1" si="291"/>
        <v>121.74209999999975</v>
      </c>
      <c r="U704" s="311">
        <f t="shared" ca="1" si="292"/>
        <v>0</v>
      </c>
      <c r="V704" s="306">
        <f t="shared" ca="1" si="293"/>
        <v>0.99480596074143668</v>
      </c>
      <c r="W704" s="304">
        <f t="shared" ca="1" si="294"/>
        <v>6.0251797534723535</v>
      </c>
      <c r="Y704" s="314" t="str">
        <f t="shared" ca="1" si="312"/>
        <v/>
      </c>
      <c r="Z704" s="315" t="str">
        <f t="shared" ca="1" si="313"/>
        <v/>
      </c>
      <c r="AA704" s="316" t="str">
        <f t="shared" ca="1" si="314"/>
        <v/>
      </c>
      <c r="AC704" s="310">
        <f t="shared" ca="1" si="315"/>
        <v>25.000000000000025</v>
      </c>
      <c r="AD704" s="323">
        <f t="shared" ca="1" si="316"/>
        <v>1029.1461084989792</v>
      </c>
      <c r="AE704" s="324" t="e">
        <f t="shared" ca="1" si="295"/>
        <v>#N/A</v>
      </c>
      <c r="AG704" s="306">
        <f t="shared" ca="1" si="317"/>
        <v>6.012108566682496</v>
      </c>
      <c r="AH704" s="304">
        <f t="shared" ca="1" si="318"/>
        <v>-0.47397922464252062</v>
      </c>
    </row>
    <row r="705" spans="1:34" x14ac:dyDescent="0.25">
      <c r="A705" s="347">
        <f t="shared" ca="1" si="296"/>
        <v>0.1</v>
      </c>
      <c r="B705" s="304">
        <f t="shared" ca="1" si="297"/>
        <v>25.100000000000026</v>
      </c>
      <c r="D705" s="306">
        <f t="shared" ca="1" si="298"/>
        <v>-0.35962218186417916</v>
      </c>
      <c r="E705" s="307">
        <f t="shared" ca="1" si="299"/>
        <v>-9.483822291469556</v>
      </c>
      <c r="F705" s="304">
        <f t="shared" ca="1" si="300"/>
        <v>9.4906381961311546</v>
      </c>
      <c r="G705" s="306">
        <f t="shared" ca="1" si="301"/>
        <v>38.111353904808169</v>
      </c>
      <c r="H705" s="307">
        <f t="shared" ca="1" si="302"/>
        <v>-35.548039277788661</v>
      </c>
      <c r="I705" s="304">
        <f t="shared" ca="1" si="303"/>
        <v>52.116584624788509</v>
      </c>
      <c r="J705" s="306">
        <f t="shared" ca="1" si="304"/>
        <v>1032.9590420003692</v>
      </c>
      <c r="K705" s="307">
        <f t="shared" ca="1" si="305"/>
        <v>2070.4940669292755</v>
      </c>
      <c r="L705" s="304">
        <f t="shared" ca="1" si="290"/>
        <v>2313.8604244075855</v>
      </c>
      <c r="M705" s="306">
        <f t="shared" ca="1" si="306"/>
        <v>-0.75061263863682914</v>
      </c>
      <c r="N705" s="304">
        <f t="shared" ca="1" si="307"/>
        <v>-43.006936243068701</v>
      </c>
      <c r="P705" s="310">
        <f t="shared" ca="1" si="308"/>
        <v>23</v>
      </c>
      <c r="Q705" s="304">
        <f t="shared" ca="1" si="309"/>
        <v>0</v>
      </c>
      <c r="R705" s="306">
        <f t="shared" ca="1" si="310"/>
        <v>0</v>
      </c>
      <c r="S705" s="307">
        <f t="shared" ca="1" si="311"/>
        <v>12.409999999999973</v>
      </c>
      <c r="T705" s="304">
        <f t="shared" ca="1" si="291"/>
        <v>121.74209999999975</v>
      </c>
      <c r="U705" s="311">
        <f t="shared" ca="1" si="292"/>
        <v>0</v>
      </c>
      <c r="V705" s="306">
        <f t="shared" ca="1" si="293"/>
        <v>0.99515872646105619</v>
      </c>
      <c r="W705" s="304">
        <f t="shared" ca="1" si="294"/>
        <v>6.1722625688657047</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6.1050915284493126</v>
      </c>
      <c r="AH705" s="304">
        <f t="shared" ca="1" si="318"/>
        <v>-0.4855100526569191</v>
      </c>
    </row>
    <row r="706" spans="1:34" x14ac:dyDescent="0.25">
      <c r="A706" s="347">
        <f t="shared" ca="1" si="296"/>
        <v>0.1</v>
      </c>
      <c r="B706" s="304">
        <f t="shared" ca="1" si="297"/>
        <v>25.200000000000028</v>
      </c>
      <c r="D706" s="306">
        <f t="shared" ca="1" si="298"/>
        <v>-0.36370648219639862</v>
      </c>
      <c r="E706" s="307">
        <f t="shared" ca="1" si="299"/>
        <v>-9.4707558905674887</v>
      </c>
      <c r="F706" s="304">
        <f t="shared" ca="1" si="300"/>
        <v>9.4777370476243146</v>
      </c>
      <c r="G706" s="306">
        <f t="shared" ca="1" si="301"/>
        <v>38.074983256588531</v>
      </c>
      <c r="H706" s="307">
        <f t="shared" ca="1" si="302"/>
        <v>-36.495114866845412</v>
      </c>
      <c r="I706" s="304">
        <f t="shared" ca="1" si="303"/>
        <v>52.740854744057174</v>
      </c>
      <c r="J706" s="306">
        <f t="shared" ca="1" si="304"/>
        <v>1036.7683588584391</v>
      </c>
      <c r="K706" s="307">
        <f t="shared" ca="1" si="305"/>
        <v>2066.891909222044</v>
      </c>
      <c r="L706" s="304">
        <f t="shared" ca="1" si="290"/>
        <v>2312.3431394015824</v>
      </c>
      <c r="M706" s="306">
        <f t="shared" ca="1" si="306"/>
        <v>-0.76421497989067</v>
      </c>
      <c r="N706" s="304">
        <f t="shared" ca="1" si="307"/>
        <v>-43.786292988410466</v>
      </c>
      <c r="P706" s="310">
        <f t="shared" ca="1" si="308"/>
        <v>23</v>
      </c>
      <c r="Q706" s="304">
        <f t="shared" ca="1" si="309"/>
        <v>0</v>
      </c>
      <c r="R706" s="306">
        <f t="shared" ca="1" si="310"/>
        <v>0</v>
      </c>
      <c r="S706" s="307">
        <f t="shared" ca="1" si="311"/>
        <v>12.409999999999973</v>
      </c>
      <c r="T706" s="304">
        <f t="shared" ca="1" si="291"/>
        <v>121.74209999999975</v>
      </c>
      <c r="U706" s="311">
        <f t="shared" ca="1" si="292"/>
        <v>0</v>
      </c>
      <c r="V706" s="306">
        <f t="shared" ca="1" si="293"/>
        <v>0.99552114097329025</v>
      </c>
      <c r="W706" s="304">
        <f t="shared" ca="1" si="294"/>
        <v>6.323317048066623</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6.1939104078252258</v>
      </c>
      <c r="AH706" s="304">
        <f t="shared" ca="1" si="318"/>
        <v>-0.49736201199562596</v>
      </c>
    </row>
    <row r="707" spans="1:34" x14ac:dyDescent="0.25">
      <c r="A707" s="347">
        <f t="shared" ca="1" si="296"/>
        <v>0.1</v>
      </c>
      <c r="B707" s="304">
        <f t="shared" ca="1" si="297"/>
        <v>25.300000000000029</v>
      </c>
      <c r="D707" s="306">
        <f t="shared" ca="1" si="298"/>
        <v>-0.36784574206027004</v>
      </c>
      <c r="E707" s="307">
        <f t="shared" ca="1" si="299"/>
        <v>-9.4574175045777196</v>
      </c>
      <c r="F707" s="304">
        <f t="shared" ca="1" si="300"/>
        <v>9.4645684711900593</v>
      </c>
      <c r="G707" s="306">
        <f t="shared" ca="1" si="301"/>
        <v>38.038198682382507</v>
      </c>
      <c r="H707" s="307">
        <f t="shared" ca="1" si="302"/>
        <v>-37.440856617303183</v>
      </c>
      <c r="I707" s="304">
        <f t="shared" ca="1" si="303"/>
        <v>53.373423192051888</v>
      </c>
      <c r="J707" s="306">
        <f t="shared" ca="1" si="304"/>
        <v>1040.5740179553877</v>
      </c>
      <c r="K707" s="307">
        <f t="shared" ca="1" si="305"/>
        <v>2063.1951106478364</v>
      </c>
      <c r="L707" s="304">
        <f t="shared" ca="1" si="290"/>
        <v>2310.7506034717285</v>
      </c>
      <c r="M707" s="306">
        <f t="shared" ca="1" si="306"/>
        <v>-0.77748431773055648</v>
      </c>
      <c r="N707" s="304">
        <f t="shared" ca="1" si="307"/>
        <v>-44.546570043569204</v>
      </c>
      <c r="P707" s="310">
        <f t="shared" ca="1" si="308"/>
        <v>23</v>
      </c>
      <c r="Q707" s="304">
        <f t="shared" ca="1" si="309"/>
        <v>0</v>
      </c>
      <c r="R707" s="306">
        <f t="shared" ca="1" si="310"/>
        <v>0</v>
      </c>
      <c r="S707" s="307">
        <f t="shared" ca="1" si="311"/>
        <v>12.409999999999973</v>
      </c>
      <c r="T707" s="304">
        <f t="shared" ca="1" si="291"/>
        <v>121.74209999999975</v>
      </c>
      <c r="U707" s="311">
        <f t="shared" ca="1" si="292"/>
        <v>0</v>
      </c>
      <c r="V707" s="306">
        <f t="shared" ca="1" si="293"/>
        <v>0.99589320038475715</v>
      </c>
      <c r="W707" s="304">
        <f t="shared" ca="1" si="294"/>
        <v>6.4783293860906364</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6.2786964547752131</v>
      </c>
      <c r="AH707" s="304">
        <f t="shared" ca="1" si="318"/>
        <v>-0.50953400870802867</v>
      </c>
    </row>
    <row r="708" spans="1:34" x14ac:dyDescent="0.25">
      <c r="A708" s="347">
        <f t="shared" ca="1" si="296"/>
        <v>0.1</v>
      </c>
      <c r="B708" s="304">
        <f t="shared" ca="1" si="297"/>
        <v>25.400000000000031</v>
      </c>
      <c r="D708" s="306">
        <f t="shared" ca="1" si="298"/>
        <v>-0.3720369957859056</v>
      </c>
      <c r="E708" s="307">
        <f t="shared" ca="1" si="299"/>
        <v>-9.4438053772771386</v>
      </c>
      <c r="F708" s="304">
        <f t="shared" ca="1" si="300"/>
        <v>9.4511307011448107</v>
      </c>
      <c r="G708" s="306">
        <f t="shared" ca="1" si="301"/>
        <v>38.000994982803917</v>
      </c>
      <c r="H708" s="307">
        <f t="shared" ca="1" si="302"/>
        <v>-38.3852371550309</v>
      </c>
      <c r="I708" s="304">
        <f t="shared" ca="1" si="303"/>
        <v>54.013906090293574</v>
      </c>
      <c r="J708" s="306">
        <f t="shared" ca="1" si="304"/>
        <v>1044.3759776386471</v>
      </c>
      <c r="K708" s="307">
        <f t="shared" ca="1" si="305"/>
        <v>2059.4038059592199</v>
      </c>
      <c r="L708" s="304">
        <f t="shared" ref="L708:L771" ca="1" si="319">SQRT(pos_x^2+pos_z^2)</f>
        <v>2309.0831987323454</v>
      </c>
      <c r="M708" s="306">
        <f t="shared" ca="1" si="306"/>
        <v>-0.79042837526465493</v>
      </c>
      <c r="N708" s="304">
        <f t="shared" ca="1" si="307"/>
        <v>-45.288209910047563</v>
      </c>
      <c r="P708" s="310">
        <f t="shared" ca="1" si="308"/>
        <v>23</v>
      </c>
      <c r="Q708" s="304">
        <f t="shared" ca="1" si="309"/>
        <v>0</v>
      </c>
      <c r="R708" s="306">
        <f t="shared" ca="1" si="310"/>
        <v>0</v>
      </c>
      <c r="S708" s="307">
        <f t="shared" ca="1" si="311"/>
        <v>12.409999999999973</v>
      </c>
      <c r="T708" s="304">
        <f t="shared" ref="T708:T771" ca="1" si="320">m*g</f>
        <v>121.74209999999975</v>
      </c>
      <c r="U708" s="311">
        <f t="shared" ref="U708:U771" ca="1" si="321">IF(pos_xz&lt;L_rampe,Poids*COS(Beta),0)</f>
        <v>0</v>
      </c>
      <c r="V708" s="306">
        <f t="shared" ref="V708:V771" ca="1" si="322">Rho_moyen*(20000-Alt_rampe-pos_z)/(20000+Alt_rampe+pos_z)</f>
        <v>0.99627490076422343</v>
      </c>
      <c r="W708" s="304">
        <f t="shared" ref="W708:W771" ca="1" si="323">1/2*Rho*Sref*Cx*vit_xz^2</f>
        <v>6.6372855449554056</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6.359579835606195</v>
      </c>
      <c r="AH708" s="304">
        <f t="shared" ca="1" si="318"/>
        <v>-0.52202493038603148</v>
      </c>
    </row>
    <row r="709" spans="1:34" x14ac:dyDescent="0.25">
      <c r="A709" s="347">
        <f t="shared" ref="A709:A772" ca="1" si="325">IF(B708+0.01&lt;=T_ini+ROUNDUP(Temps_fin_propu,0), 0.01, IF(K708&gt;0, 0.1, 0.0001))</f>
        <v>0.1</v>
      </c>
      <c r="B709" s="304">
        <f t="shared" ref="B709:B772" ca="1" si="326">B708+pas</f>
        <v>25.500000000000032</v>
      </c>
      <c r="D709" s="306">
        <f t="shared" ref="D709:D772" ca="1" si="327">IF(AND(L708&lt;L_rampe,Poussee&lt;Poids*SIN(M708)),0,(-W708+Poussee)/m*COS(M708)-U708/m*SIN(M708))</f>
        <v>-0.37627737306154513</v>
      </c>
      <c r="E709" s="307">
        <f t="shared" ref="E709:E772" ca="1" si="328">IF(AND(L708&lt;L_rampe,Poussee&lt;Poids*SIN(M708)),0,(-W708+Poussee)/m*SIN(M708)+U708/m*COS(M708)-Poids/m)</f>
        <v>-9.4299179466859915</v>
      </c>
      <c r="F709" s="304">
        <f t="shared" ref="F709:F772" ca="1" si="329">SQRT(acc_x^2+acc_z^2)</f>
        <v>9.4374221661801609</v>
      </c>
      <c r="G709" s="306">
        <f t="shared" ref="G709:G772" ca="1" si="330">G708+acc_x*pas</f>
        <v>37.963367245497764</v>
      </c>
      <c r="H709" s="307">
        <f t="shared" ref="H709:H772" ca="1" si="331">H708+acc_z*pas</f>
        <v>-39.328228949699501</v>
      </c>
      <c r="I709" s="304">
        <f t="shared" ref="I709:I772" ca="1" si="332">SQRT(vit_x^2+vit_z^2)</f>
        <v>54.661932319819378</v>
      </c>
      <c r="J709" s="306">
        <f t="shared" ref="J709:J772" ca="1" si="333">J708+0.5*(vit_x+G708)*pas*(K708&gt;=0)</f>
        <v>1048.1741957500622</v>
      </c>
      <c r="K709" s="307">
        <f t="shared" ref="K709:K772" ca="1" si="334">K708+0.5*(vit_z+H708)*pas</f>
        <v>2055.5181326539832</v>
      </c>
      <c r="L709" s="304">
        <f t="shared" ca="1" si="319"/>
        <v>2307.3413137864122</v>
      </c>
      <c r="M709" s="306">
        <f t="shared" ref="M709:M772" ca="1" si="335">IF(AND(L708&gt;L_rampe,G709&gt;0),ATAN2(G709,H709),$M$4)</f>
        <v>-0.80305493245548831</v>
      </c>
      <c r="N709" s="304">
        <f t="shared" ref="N709:N772" ca="1" si="336">DEGREES(Beta)</f>
        <v>-46.011658346862873</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12.409999999999973</v>
      </c>
      <c r="T709" s="304">
        <f t="shared" ca="1" si="320"/>
        <v>121.74209999999975</v>
      </c>
      <c r="U709" s="311">
        <f t="shared" ca="1" si="321"/>
        <v>0</v>
      </c>
      <c r="V709" s="306">
        <f t="shared" ca="1" si="322"/>
        <v>0.99666623813991251</v>
      </c>
      <c r="W709" s="304">
        <f t="shared" ca="1" si="323"/>
        <v>6.8001712500870291</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6.436689129443403</v>
      </c>
      <c r="AH709" s="304">
        <f t="shared" ref="AH709:AH772" ca="1" si="347">IF(AND(L708&lt;L_rampe,Poussee&lt;Poids*SIN(M708)), g*SIN(M708), (-W708+Poussee)/m)</f>
        <v>-0.53483364584652859</v>
      </c>
    </row>
    <row r="710" spans="1:34" x14ac:dyDescent="0.25">
      <c r="A710" s="347">
        <f t="shared" ca="1" si="325"/>
        <v>0.1</v>
      </c>
      <c r="B710" s="304">
        <f t="shared" ca="1" si="326"/>
        <v>25.600000000000033</v>
      </c>
      <c r="D710" s="306">
        <f t="shared" ca="1" si="327"/>
        <v>-0.38056409741565483</v>
      </c>
      <c r="E710" s="307">
        <f t="shared" ca="1" si="328"/>
        <v>-9.4157538348373571</v>
      </c>
      <c r="F710" s="304">
        <f t="shared" ca="1" si="329"/>
        <v>9.42344147912514</v>
      </c>
      <c r="G710" s="306">
        <f t="shared" ca="1" si="330"/>
        <v>37.9253108357562</v>
      </c>
      <c r="H710" s="307">
        <f t="shared" ca="1" si="331"/>
        <v>-40.269804333183238</v>
      </c>
      <c r="I710" s="304">
        <f t="shared" ca="1" si="332"/>
        <v>55.317143301345467</v>
      </c>
      <c r="J710" s="306">
        <f t="shared" ca="1" si="333"/>
        <v>1051.9686296541249</v>
      </c>
      <c r="K710" s="307">
        <f t="shared" ca="1" si="334"/>
        <v>2051.5382309898391</v>
      </c>
      <c r="L710" s="304">
        <f t="shared" ca="1" si="319"/>
        <v>2305.525343818475</v>
      </c>
      <c r="M710" s="306">
        <f t="shared" ca="1" si="335"/>
        <v>-0.81537179203478793</v>
      </c>
      <c r="N710" s="304">
        <f t="shared" ca="1" si="336"/>
        <v>-46.717362417612023</v>
      </c>
      <c r="P710" s="310">
        <f t="shared" ca="1" si="337"/>
        <v>23</v>
      </c>
      <c r="Q710" s="304">
        <f t="shared" ca="1" si="338"/>
        <v>0</v>
      </c>
      <c r="R710" s="306">
        <f t="shared" ca="1" si="339"/>
        <v>0</v>
      </c>
      <c r="S710" s="307">
        <f t="shared" ca="1" si="340"/>
        <v>12.409999999999973</v>
      </c>
      <c r="T710" s="304">
        <f t="shared" ca="1" si="320"/>
        <v>121.74209999999975</v>
      </c>
      <c r="U710" s="311">
        <f t="shared" ca="1" si="321"/>
        <v>0</v>
      </c>
      <c r="V710" s="306">
        <f t="shared" ca="1" si="322"/>
        <v>0.99706720849697916</v>
      </c>
      <c r="W710" s="304">
        <f t="shared" ca="1" si="323"/>
        <v>6.9669719870544631</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6.5101509013216052</v>
      </c>
      <c r="AH710" s="304">
        <f t="shared" ca="1" si="347"/>
        <v>-0.54795900484182458</v>
      </c>
    </row>
    <row r="711" spans="1:34" x14ac:dyDescent="0.25">
      <c r="A711" s="347">
        <f t="shared" ca="1" si="325"/>
        <v>0.1</v>
      </c>
      <c r="B711" s="304">
        <f t="shared" ca="1" si="326"/>
        <v>25.700000000000035</v>
      </c>
      <c r="D711" s="306">
        <f t="shared" ca="1" si="327"/>
        <v>-0.38489448443837559</v>
      </c>
      <c r="E711" s="307">
        <f t="shared" ca="1" si="328"/>
        <v>-9.4013118380392626</v>
      </c>
      <c r="F711" s="304">
        <f t="shared" ca="1" si="329"/>
        <v>9.4091874272015783</v>
      </c>
      <c r="G711" s="306">
        <f t="shared" ca="1" si="330"/>
        <v>37.886821387312359</v>
      </c>
      <c r="H711" s="307">
        <f t="shared" ca="1" si="331"/>
        <v>-41.209935516987166</v>
      </c>
      <c r="I711" s="304">
        <f t="shared" ca="1" si="332"/>
        <v>55.9791927429143</v>
      </c>
      <c r="J711" s="306">
        <f t="shared" ca="1" si="333"/>
        <v>1055.7592362652783</v>
      </c>
      <c r="K711" s="307">
        <f t="shared" ca="1" si="334"/>
        <v>2047.4642439973306</v>
      </c>
      <c r="L711" s="304">
        <f t="shared" ca="1" si="319"/>
        <v>2303.6356906870069</v>
      </c>
      <c r="M711" s="306">
        <f t="shared" ca="1" si="335"/>
        <v>-0.82738674928742717</v>
      </c>
      <c r="N711" s="304">
        <f t="shared" ca="1" si="336"/>
        <v>-47.405768759218347</v>
      </c>
      <c r="P711" s="310">
        <f t="shared" ca="1" si="337"/>
        <v>23</v>
      </c>
      <c r="Q711" s="304">
        <f t="shared" ca="1" si="338"/>
        <v>0</v>
      </c>
      <c r="R711" s="306">
        <f t="shared" ca="1" si="339"/>
        <v>0</v>
      </c>
      <c r="S711" s="307">
        <f t="shared" ca="1" si="340"/>
        <v>12.409999999999973</v>
      </c>
      <c r="T711" s="304">
        <f t="shared" ca="1" si="320"/>
        <v>121.74209999999975</v>
      </c>
      <c r="U711" s="311">
        <f t="shared" ca="1" si="321"/>
        <v>0</v>
      </c>
      <c r="V711" s="306">
        <f t="shared" ca="1" si="322"/>
        <v>0.99747780777514128</v>
      </c>
      <c r="W711" s="304">
        <f t="shared" ca="1" si="323"/>
        <v>7.1376729986142724</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6.5800893449776821</v>
      </c>
      <c r="AH711" s="304">
        <f t="shared" ca="1" si="347"/>
        <v>-0.56139983779649294</v>
      </c>
    </row>
    <row r="712" spans="1:34" x14ac:dyDescent="0.25">
      <c r="A712" s="347">
        <f t="shared" ca="1" si="325"/>
        <v>0.1</v>
      </c>
      <c r="B712" s="304">
        <f t="shared" ca="1" si="326"/>
        <v>25.800000000000036</v>
      </c>
      <c r="D712" s="306">
        <f t="shared" ca="1" si="327"/>
        <v>-0.38926593978863072</v>
      </c>
      <c r="E712" s="307">
        <f t="shared" ca="1" si="328"/>
        <v>-9.3865909176265472</v>
      </c>
      <c r="F712" s="304">
        <f t="shared" ca="1" si="329"/>
        <v>9.3946589627696824</v>
      </c>
      <c r="G712" s="306">
        <f t="shared" ca="1" si="330"/>
        <v>37.847894793333495</v>
      </c>
      <c r="H712" s="307">
        <f t="shared" ca="1" si="331"/>
        <v>-42.148594608749818</v>
      </c>
      <c r="I712" s="304">
        <f t="shared" ca="1" si="332"/>
        <v>56.647746360998113</v>
      </c>
      <c r="J712" s="306">
        <f t="shared" ca="1" si="333"/>
        <v>1059.5459720743106</v>
      </c>
      <c r="K712" s="307">
        <f t="shared" ca="1" si="334"/>
        <v>2043.2963174910437</v>
      </c>
      <c r="L712" s="304">
        <f t="shared" ca="1" si="319"/>
        <v>2301.6727630163582</v>
      </c>
      <c r="M712" s="306">
        <f t="shared" ca="1" si="335"/>
        <v>-0.83910756543024256</v>
      </c>
      <c r="N712" s="304">
        <f t="shared" ca="1" si="336"/>
        <v>-48.077322056650473</v>
      </c>
      <c r="P712" s="310">
        <f t="shared" ca="1" si="337"/>
        <v>23</v>
      </c>
      <c r="Q712" s="304">
        <f t="shared" ca="1" si="338"/>
        <v>0</v>
      </c>
      <c r="R712" s="306">
        <f t="shared" ca="1" si="339"/>
        <v>0</v>
      </c>
      <c r="S712" s="307">
        <f t="shared" ca="1" si="340"/>
        <v>12.409999999999973</v>
      </c>
      <c r="T712" s="304">
        <f t="shared" ca="1" si="320"/>
        <v>121.74209999999975</v>
      </c>
      <c r="U712" s="311">
        <f t="shared" ca="1" si="321"/>
        <v>0</v>
      </c>
      <c r="V712" s="306">
        <f t="shared" ca="1" si="322"/>
        <v>0.99789803186645887</v>
      </c>
      <c r="W712" s="304">
        <f t="shared" ca="1" si="323"/>
        <v>7.3122592820487684</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6.6466259886158712</v>
      </c>
      <c r="AH712" s="304">
        <f t="shared" ca="1" si="347"/>
        <v>-0.57515495556924157</v>
      </c>
    </row>
    <row r="713" spans="1:34" x14ac:dyDescent="0.25">
      <c r="A713" s="347">
        <f t="shared" ca="1" si="325"/>
        <v>0.1</v>
      </c>
      <c r="B713" s="304">
        <f t="shared" ca="1" si="326"/>
        <v>25.900000000000038</v>
      </c>
      <c r="D713" s="306">
        <f t="shared" ca="1" si="327"/>
        <v>-0.39367595702847663</v>
      </c>
      <c r="E713" s="307">
        <f t="shared" ca="1" si="328"/>
        <v>-9.3715901911953239</v>
      </c>
      <c r="F713" s="304">
        <f t="shared" ca="1" si="329"/>
        <v>9.3798551945566135</v>
      </c>
      <c r="G713" s="306">
        <f t="shared" ca="1" si="330"/>
        <v>37.808527197630646</v>
      </c>
      <c r="H713" s="307">
        <f t="shared" ca="1" si="331"/>
        <v>-43.085753627869352</v>
      </c>
      <c r="I713" s="304">
        <f t="shared" ca="1" si="332"/>
        <v>57.322481580401188</v>
      </c>
      <c r="J713" s="306">
        <f t="shared" ca="1" si="333"/>
        <v>1063.3287931738589</v>
      </c>
      <c r="K713" s="307">
        <f t="shared" ca="1" si="334"/>
        <v>2039.0346000792129</v>
      </c>
      <c r="L713" s="304">
        <f t="shared" ca="1" si="319"/>
        <v>2299.6369762883814</v>
      </c>
      <c r="M713" s="306">
        <f t="shared" ca="1" si="335"/>
        <v>-0.85054194431254482</v>
      </c>
      <c r="N713" s="304">
        <f t="shared" ca="1" si="336"/>
        <v>-48.732463707959909</v>
      </c>
      <c r="P713" s="310">
        <f t="shared" ca="1" si="337"/>
        <v>23</v>
      </c>
      <c r="Q713" s="304">
        <f t="shared" ca="1" si="338"/>
        <v>0</v>
      </c>
      <c r="R713" s="306">
        <f t="shared" ca="1" si="339"/>
        <v>0</v>
      </c>
      <c r="S713" s="307">
        <f t="shared" ca="1" si="340"/>
        <v>12.409999999999973</v>
      </c>
      <c r="T713" s="304">
        <f t="shared" ca="1" si="320"/>
        <v>121.74209999999975</v>
      </c>
      <c r="U713" s="311">
        <f t="shared" ca="1" si="321"/>
        <v>0</v>
      </c>
      <c r="V713" s="306">
        <f t="shared" ca="1" si="322"/>
        <v>0.99832787661324718</v>
      </c>
      <c r="W713" s="304">
        <f t="shared" ca="1" si="323"/>
        <v>7.4907155867815822</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6.7098794571896194</v>
      </c>
      <c r="AH713" s="304">
        <f t="shared" ca="1" si="347"/>
        <v>-0.58922314923841934</v>
      </c>
    </row>
    <row r="714" spans="1:34" x14ac:dyDescent="0.25">
      <c r="A714" s="347">
        <f t="shared" ca="1" si="325"/>
        <v>0.1</v>
      </c>
      <c r="B714" s="304">
        <f t="shared" ca="1" si="326"/>
        <v>26.000000000000039</v>
      </c>
      <c r="D714" s="306">
        <f t="shared" ca="1" si="327"/>
        <v>-0.39812211532180058</v>
      </c>
      <c r="E714" s="307">
        <f t="shared" ca="1" si="328"/>
        <v>-9.3563089243096407</v>
      </c>
      <c r="F714" s="304">
        <f t="shared" ca="1" si="329"/>
        <v>9.3647753793577202</v>
      </c>
      <c r="G714" s="306">
        <f t="shared" ca="1" si="330"/>
        <v>37.768714986098466</v>
      </c>
      <c r="H714" s="307">
        <f t="shared" ca="1" si="331"/>
        <v>-44.021384520300316</v>
      </c>
      <c r="I714" s="304">
        <f t="shared" ca="1" si="332"/>
        <v>58.003087217710018</v>
      </c>
      <c r="J714" s="306">
        <f t="shared" ca="1" si="333"/>
        <v>1067.1076552830455</v>
      </c>
      <c r="K714" s="307">
        <f t="shared" ca="1" si="334"/>
        <v>2034.6792431718043</v>
      </c>
      <c r="L714" s="304">
        <f t="shared" ca="1" si="319"/>
        <v>2297.5287529338702</v>
      </c>
      <c r="M714" s="306">
        <f t="shared" ca="1" si="335"/>
        <v>-0.86169751217020374</v>
      </c>
      <c r="N714" s="304">
        <f t="shared" ca="1" si="336"/>
        <v>-49.371630664275564</v>
      </c>
      <c r="P714" s="310">
        <f t="shared" ca="1" si="337"/>
        <v>23</v>
      </c>
      <c r="Q714" s="304">
        <f t="shared" ca="1" si="338"/>
        <v>0</v>
      </c>
      <c r="R714" s="306">
        <f t="shared" ca="1" si="339"/>
        <v>0</v>
      </c>
      <c r="S714" s="307">
        <f t="shared" ca="1" si="340"/>
        <v>12.409999999999973</v>
      </c>
      <c r="T714" s="304">
        <f t="shared" ca="1" si="320"/>
        <v>121.74209999999975</v>
      </c>
      <c r="U714" s="311">
        <f t="shared" ca="1" si="321"/>
        <v>0</v>
      </c>
      <c r="V714" s="306">
        <f t="shared" ca="1" si="322"/>
        <v>0.99876733780612292</v>
      </c>
      <c r="W714" s="304">
        <f t="shared" ca="1" si="323"/>
        <v>7.6730264122555694</v>
      </c>
      <c r="Y714" s="314" t="str">
        <f t="shared" ca="1" si="341"/>
        <v/>
      </c>
      <c r="Z714" s="315" t="str">
        <f t="shared" ca="1" si="342"/>
        <v/>
      </c>
      <c r="AA714" s="316" t="str">
        <f t="shared" ca="1" si="343"/>
        <v/>
      </c>
      <c r="AC714" s="310">
        <f t="shared" ca="1" si="344"/>
        <v>26.000000000000039</v>
      </c>
      <c r="AD714" s="323">
        <f t="shared" ca="1" si="345"/>
        <v>1067.1076552830455</v>
      </c>
      <c r="AE714" s="324" t="e">
        <f t="shared" ca="1" si="324"/>
        <v>#N/A</v>
      </c>
      <c r="AG714" s="306">
        <f t="shared" ca="1" si="346"/>
        <v>6.7699652850793761</v>
      </c>
      <c r="AH714" s="304">
        <f t="shared" ca="1" si="347"/>
        <v>-0.60360318990987893</v>
      </c>
    </row>
    <row r="715" spans="1:34" x14ac:dyDescent="0.25">
      <c r="A715" s="347">
        <f t="shared" ca="1" si="325"/>
        <v>0.1</v>
      </c>
      <c r="B715" s="304">
        <f t="shared" ca="1" si="326"/>
        <v>26.100000000000041</v>
      </c>
      <c r="D715" s="306">
        <f t="shared" ca="1" si="327"/>
        <v>-0.40260207703024786</v>
      </c>
      <c r="E715" s="307">
        <f t="shared" ca="1" si="328"/>
        <v>-9.340746522667148</v>
      </c>
      <c r="F715" s="304">
        <f t="shared" ca="1" si="329"/>
        <v>9.3494189141971535</v>
      </c>
      <c r="G715" s="306">
        <f t="shared" ca="1" si="330"/>
        <v>37.728454778395438</v>
      </c>
      <c r="H715" s="307">
        <f t="shared" ca="1" si="331"/>
        <v>-44.955459172567032</v>
      </c>
      <c r="I715" s="304">
        <f t="shared" ca="1" si="332"/>
        <v>58.68926315248617</v>
      </c>
      <c r="J715" s="306">
        <f t="shared" ca="1" si="333"/>
        <v>1070.8825137712702</v>
      </c>
      <c r="K715" s="307">
        <f t="shared" ca="1" si="334"/>
        <v>2030.2304009871609</v>
      </c>
      <c r="L715" s="304">
        <f t="shared" ca="1" si="319"/>
        <v>2295.3485224238962</v>
      </c>
      <c r="M715" s="306">
        <f t="shared" ca="1" si="335"/>
        <v>-0.87258180017341513</v>
      </c>
      <c r="N715" s="304">
        <f t="shared" ca="1" si="336"/>
        <v>-49.995254429864453</v>
      </c>
      <c r="P715" s="310">
        <f t="shared" ca="1" si="337"/>
        <v>23</v>
      </c>
      <c r="Q715" s="304">
        <f t="shared" ca="1" si="338"/>
        <v>0</v>
      </c>
      <c r="R715" s="306">
        <f t="shared" ca="1" si="339"/>
        <v>0</v>
      </c>
      <c r="S715" s="307">
        <f t="shared" ca="1" si="340"/>
        <v>12.409999999999973</v>
      </c>
      <c r="T715" s="304">
        <f t="shared" ca="1" si="320"/>
        <v>121.74209999999975</v>
      </c>
      <c r="U715" s="311">
        <f t="shared" ca="1" si="321"/>
        <v>0</v>
      </c>
      <c r="V715" s="306">
        <f t="shared" ca="1" si="322"/>
        <v>0.99921641118216986</v>
      </c>
      <c r="W715" s="304">
        <f t="shared" ca="1" si="323"/>
        <v>7.8591760060588314</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6.8269957734235183</v>
      </c>
      <c r="AH715" s="304">
        <f t="shared" ca="1" si="347"/>
        <v>-0.61829382854597792</v>
      </c>
    </row>
    <row r="716" spans="1:34" x14ac:dyDescent="0.25">
      <c r="A716" s="347">
        <f t="shared" ca="1" si="325"/>
        <v>0.1</v>
      </c>
      <c r="B716" s="304">
        <f t="shared" ca="1" si="326"/>
        <v>26.200000000000042</v>
      </c>
      <c r="D716" s="306">
        <f t="shared" ca="1" si="327"/>
        <v>-0.40711358523533192</v>
      </c>
      <c r="E716" s="307">
        <f t="shared" ca="1" si="328"/>
        <v>-9.3249025247086283</v>
      </c>
      <c r="F716" s="304">
        <f t="shared" ca="1" si="329"/>
        <v>9.3337853289327644</v>
      </c>
      <c r="G716" s="306">
        <f t="shared" ca="1" si="330"/>
        <v>37.687743419871907</v>
      </c>
      <c r="H716" s="307">
        <f t="shared" ca="1" si="331"/>
        <v>-45.887949425037895</v>
      </c>
      <c r="I716" s="304">
        <f t="shared" ca="1" si="332"/>
        <v>59.380719989883367</v>
      </c>
      <c r="J716" s="306">
        <f t="shared" ca="1" si="333"/>
        <v>1074.6533236811836</v>
      </c>
      <c r="K716" s="307">
        <f t="shared" ca="1" si="334"/>
        <v>2025.6882305572806</v>
      </c>
      <c r="L716" s="304">
        <f t="shared" ca="1" si="319"/>
        <v>2293.0967213611598</v>
      </c>
      <c r="M716" s="306">
        <f t="shared" ca="1" si="335"/>
        <v>-0.88320222951883776</v>
      </c>
      <c r="N716" s="304">
        <f t="shared" ca="1" si="336"/>
        <v>-50.603760207974055</v>
      </c>
      <c r="P716" s="310">
        <f t="shared" ca="1" si="337"/>
        <v>23</v>
      </c>
      <c r="Q716" s="304">
        <f t="shared" ca="1" si="338"/>
        <v>0</v>
      </c>
      <c r="R716" s="306">
        <f t="shared" ca="1" si="339"/>
        <v>0</v>
      </c>
      <c r="S716" s="307">
        <f t="shared" ca="1" si="340"/>
        <v>12.409999999999973</v>
      </c>
      <c r="T716" s="304">
        <f t="shared" ca="1" si="320"/>
        <v>121.74209999999975</v>
      </c>
      <c r="U716" s="311">
        <f t="shared" ca="1" si="321"/>
        <v>0</v>
      </c>
      <c r="V716" s="306">
        <f t="shared" ca="1" si="322"/>
        <v>0.99967509242321795</v>
      </c>
      <c r="W716" s="304">
        <f t="shared" ca="1" si="323"/>
        <v>8.0491483622854236</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6.8810798867625049</v>
      </c>
      <c r="AH716" s="304">
        <f t="shared" ca="1" si="347"/>
        <v>-0.63329379581457279</v>
      </c>
    </row>
    <row r="717" spans="1:34" x14ac:dyDescent="0.25">
      <c r="A717" s="347">
        <f t="shared" ca="1" si="325"/>
        <v>0.1</v>
      </c>
      <c r="B717" s="304">
        <f t="shared" ca="1" si="326"/>
        <v>26.300000000000043</v>
      </c>
      <c r="D717" s="306">
        <f t="shared" ca="1" si="327"/>
        <v>-0.41165446121205201</v>
      </c>
      <c r="E717" s="307">
        <f t="shared" ca="1" si="328"/>
        <v>-9.3087765946546543</v>
      </c>
      <c r="F717" s="304">
        <f t="shared" ca="1" si="329"/>
        <v>9.3178742792884943</v>
      </c>
      <c r="G717" s="306">
        <f t="shared" ca="1" si="330"/>
        <v>37.646577973750702</v>
      </c>
      <c r="H717" s="307">
        <f t="shared" ca="1" si="331"/>
        <v>-46.818827084503361</v>
      </c>
      <c r="I717" s="304">
        <f t="shared" ca="1" si="332"/>
        <v>60.077178717898505</v>
      </c>
      <c r="J717" s="306">
        <f t="shared" ca="1" si="333"/>
        <v>1078.4200397508646</v>
      </c>
      <c r="K717" s="307">
        <f t="shared" ca="1" si="334"/>
        <v>2021.0528917318036</v>
      </c>
      <c r="L717" s="304">
        <f t="shared" ca="1" si="319"/>
        <v>2290.7737935714522</v>
      </c>
      <c r="M717" s="306">
        <f t="shared" ca="1" si="335"/>
        <v>-0.89356609882906568</v>
      </c>
      <c r="N717" s="304">
        <f t="shared" ca="1" si="336"/>
        <v>-51.197566178875277</v>
      </c>
      <c r="P717" s="310">
        <f t="shared" ca="1" si="337"/>
        <v>23</v>
      </c>
      <c r="Q717" s="304">
        <f t="shared" ca="1" si="338"/>
        <v>0</v>
      </c>
      <c r="R717" s="306">
        <f t="shared" ca="1" si="339"/>
        <v>0</v>
      </c>
      <c r="S717" s="307">
        <f t="shared" ca="1" si="340"/>
        <v>12.409999999999973</v>
      </c>
      <c r="T717" s="304">
        <f t="shared" ca="1" si="320"/>
        <v>121.74209999999975</v>
      </c>
      <c r="U717" s="311">
        <f t="shared" ca="1" si="321"/>
        <v>0</v>
      </c>
      <c r="V717" s="306">
        <f t="shared" ca="1" si="322"/>
        <v>1.0001433771542287</v>
      </c>
      <c r="W717" s="304">
        <f t="shared" ca="1" si="323"/>
        <v>8.2429272201181405</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6.9323231840707829</v>
      </c>
      <c r="AH717" s="304">
        <f t="shared" ca="1" si="347"/>
        <v>-0.64860180195692507</v>
      </c>
    </row>
    <row r="718" spans="1:34" x14ac:dyDescent="0.25">
      <c r="A718" s="347">
        <f t="shared" ca="1" si="325"/>
        <v>0.1</v>
      </c>
      <c r="B718" s="304">
        <f t="shared" ca="1" si="326"/>
        <v>26.400000000000045</v>
      </c>
      <c r="D718" s="306">
        <f t="shared" ca="1" si="327"/>
        <v>-0.41622260187600774</v>
      </c>
      <c r="E718" s="307">
        <f t="shared" ca="1" si="328"/>
        <v>-9.2923685159516403</v>
      </c>
      <c r="F718" s="304">
        <f t="shared" ca="1" si="329"/>
        <v>9.301685540296539</v>
      </c>
      <c r="G718" s="306">
        <f t="shared" ca="1" si="330"/>
        <v>37.604955713563101</v>
      </c>
      <c r="H718" s="307">
        <f t="shared" ca="1" si="331"/>
        <v>-47.748063936098525</v>
      </c>
      <c r="I718" s="304">
        <f t="shared" ca="1" si="332"/>
        <v>60.778370362035822</v>
      </c>
      <c r="J718" s="306">
        <f t="shared" ca="1" si="333"/>
        <v>1082.1826164352303</v>
      </c>
      <c r="K718" s="307">
        <f t="shared" ca="1" si="334"/>
        <v>2016.3245471807734</v>
      </c>
      <c r="L718" s="304">
        <f t="shared" ca="1" si="319"/>
        <v>2288.3801901953161</v>
      </c>
      <c r="M718" s="306">
        <f t="shared" ca="1" si="335"/>
        <v>-0.90368057363579912</v>
      </c>
      <c r="N718" s="304">
        <f t="shared" ca="1" si="336"/>
        <v>-51.777082897292502</v>
      </c>
      <c r="P718" s="310">
        <f t="shared" ca="1" si="337"/>
        <v>23</v>
      </c>
      <c r="Q718" s="304">
        <f t="shared" ca="1" si="338"/>
        <v>0</v>
      </c>
      <c r="R718" s="306">
        <f t="shared" ca="1" si="339"/>
        <v>0</v>
      </c>
      <c r="S718" s="307">
        <f t="shared" ca="1" si="340"/>
        <v>12.409999999999973</v>
      </c>
      <c r="T718" s="304">
        <f t="shared" ca="1" si="320"/>
        <v>121.74209999999975</v>
      </c>
      <c r="U718" s="311">
        <f t="shared" ca="1" si="321"/>
        <v>0</v>
      </c>
      <c r="V718" s="306">
        <f t="shared" ca="1" si="322"/>
        <v>1.0006212609417828</v>
      </c>
      <c r="W718" s="304">
        <f t="shared" ca="1" si="323"/>
        <v>8.4404960626216159</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6.9808277796659253</v>
      </c>
      <c r="AH718" s="304">
        <f t="shared" ca="1" si="347"/>
        <v>-0.66421653667350189</v>
      </c>
    </row>
    <row r="719" spans="1:34" x14ac:dyDescent="0.25">
      <c r="A719" s="347">
        <f t="shared" ca="1" si="325"/>
        <v>0.1</v>
      </c>
      <c r="B719" s="304">
        <f t="shared" ca="1" si="326"/>
        <v>26.500000000000046</v>
      </c>
      <c r="D719" s="306">
        <f t="shared" ca="1" si="327"/>
        <v>-0.42081597722297892</v>
      </c>
      <c r="E719" s="307">
        <f t="shared" ca="1" si="328"/>
        <v>-9.2756781851087915</v>
      </c>
      <c r="F719" s="304">
        <f t="shared" ca="1" si="329"/>
        <v>9.2852190001307591</v>
      </c>
      <c r="G719" s="306">
        <f t="shared" ca="1" si="330"/>
        <v>37.562874115840806</v>
      </c>
      <c r="H719" s="307">
        <f t="shared" ca="1" si="331"/>
        <v>-48.675631754609405</v>
      </c>
      <c r="I719" s="304">
        <f t="shared" ca="1" si="332"/>
        <v>61.484035639772721</v>
      </c>
      <c r="J719" s="306">
        <f t="shared" ca="1" si="333"/>
        <v>1085.9410079267004</v>
      </c>
      <c r="K719" s="307">
        <f t="shared" ca="1" si="334"/>
        <v>2011.5033623962379</v>
      </c>
      <c r="L719" s="304">
        <f t="shared" ca="1" si="319"/>
        <v>2285.9163697800118</v>
      </c>
      <c r="M719" s="306">
        <f t="shared" ca="1" si="335"/>
        <v>-0.91355267773714643</v>
      </c>
      <c r="N719" s="304">
        <f t="shared" ca="1" si="336"/>
        <v>-52.342712797213494</v>
      </c>
      <c r="P719" s="310">
        <f t="shared" ca="1" si="337"/>
        <v>23</v>
      </c>
      <c r="Q719" s="304">
        <f t="shared" ca="1" si="338"/>
        <v>0</v>
      </c>
      <c r="R719" s="306">
        <f t="shared" ca="1" si="339"/>
        <v>0</v>
      </c>
      <c r="S719" s="307">
        <f t="shared" ca="1" si="340"/>
        <v>12.409999999999973</v>
      </c>
      <c r="T719" s="304">
        <f t="shared" ca="1" si="320"/>
        <v>121.74209999999975</v>
      </c>
      <c r="U719" s="311">
        <f t="shared" ca="1" si="321"/>
        <v>0</v>
      </c>
      <c r="V719" s="306">
        <f t="shared" ca="1" si="322"/>
        <v>1.0011087392926585</v>
      </c>
      <c r="W719" s="304">
        <f t="shared" ca="1" si="323"/>
        <v>8.6418381157345259</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7.0266923298914516</v>
      </c>
      <c r="AH719" s="304">
        <f t="shared" ca="1" si="347"/>
        <v>-0.6801366690267231</v>
      </c>
    </row>
    <row r="720" spans="1:34" x14ac:dyDescent="0.25">
      <c r="A720" s="347">
        <f t="shared" ca="1" si="325"/>
        <v>0.1</v>
      </c>
      <c r="B720" s="304">
        <f t="shared" ca="1" si="326"/>
        <v>26.600000000000048</v>
      </c>
      <c r="D720" s="306">
        <f t="shared" ca="1" si="327"/>
        <v>-0.42543262777718593</v>
      </c>
      <c r="E720" s="307">
        <f t="shared" ca="1" si="328"/>
        <v>-9.25870560590716</v>
      </c>
      <c r="F720" s="304">
        <f t="shared" ca="1" si="329"/>
        <v>9.2684746543125467</v>
      </c>
      <c r="G720" s="306">
        <f t="shared" ca="1" si="330"/>
        <v>37.520330853063086</v>
      </c>
      <c r="H720" s="307">
        <f t="shared" ca="1" si="331"/>
        <v>-49.601502315200122</v>
      </c>
      <c r="I720" s="304">
        <f t="shared" ca="1" si="332"/>
        <v>62.193924616863669</v>
      </c>
      <c r="J720" s="306">
        <f t="shared" ca="1" si="333"/>
        <v>1089.6951681751457</v>
      </c>
      <c r="K720" s="307">
        <f t="shared" ca="1" si="334"/>
        <v>2006.5895056927475</v>
      </c>
      <c r="L720" s="304">
        <f t="shared" ca="1" si="319"/>
        <v>2283.3827983718638</v>
      </c>
      <c r="M720" s="306">
        <f t="shared" ca="1" si="335"/>
        <v>-0.92318928623384833</v>
      </c>
      <c r="N720" s="304">
        <f t="shared" ca="1" si="336"/>
        <v>-52.894849792894419</v>
      </c>
      <c r="P720" s="310">
        <f t="shared" ca="1" si="337"/>
        <v>23</v>
      </c>
      <c r="Q720" s="304">
        <f t="shared" ca="1" si="338"/>
        <v>0</v>
      </c>
      <c r="R720" s="306">
        <f t="shared" ca="1" si="339"/>
        <v>0</v>
      </c>
      <c r="S720" s="307">
        <f t="shared" ca="1" si="340"/>
        <v>12.409999999999973</v>
      </c>
      <c r="T720" s="304">
        <f t="shared" ca="1" si="320"/>
        <v>121.74209999999975</v>
      </c>
      <c r="U720" s="311">
        <f t="shared" ca="1" si="321"/>
        <v>0</v>
      </c>
      <c r="V720" s="306">
        <f t="shared" ca="1" si="322"/>
        <v>1.0016058076524985</v>
      </c>
      <c r="W720" s="304">
        <f t="shared" ca="1" si="323"/>
        <v>8.8469363474505602</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7.0700120418627055</v>
      </c>
      <c r="AH720" s="304">
        <f t="shared" ca="1" si="347"/>
        <v>-0.69636084735975379</v>
      </c>
    </row>
    <row r="721" spans="1:34" x14ac:dyDescent="0.25">
      <c r="A721" s="347">
        <f t="shared" ca="1" si="325"/>
        <v>0.1</v>
      </c>
      <c r="B721" s="304">
        <f t="shared" ca="1" si="326"/>
        <v>26.700000000000049</v>
      </c>
      <c r="D721" s="306">
        <f t="shared" ca="1" si="327"/>
        <v>-0.43007066206198119</v>
      </c>
      <c r="E721" s="307">
        <f t="shared" ca="1" si="328"/>
        <v>-9.2414508839618748</v>
      </c>
      <c r="F721" s="304">
        <f t="shared" ca="1" si="329"/>
        <v>9.2514526002701949</v>
      </c>
      <c r="G721" s="306">
        <f t="shared" ca="1" si="330"/>
        <v>37.477323786856886</v>
      </c>
      <c r="H721" s="307">
        <f t="shared" ca="1" si="331"/>
        <v>-50.525647403596309</v>
      </c>
      <c r="I721" s="304">
        <f t="shared" ca="1" si="332"/>
        <v>62.907796367202749</v>
      </c>
      <c r="J721" s="306">
        <f t="shared" ca="1" si="333"/>
        <v>1093.4450509071416</v>
      </c>
      <c r="K721" s="307">
        <f t="shared" ca="1" si="334"/>
        <v>2001.5831482068077</v>
      </c>
      <c r="L721" s="304">
        <f t="shared" ca="1" si="319"/>
        <v>2280.7799496090797</v>
      </c>
      <c r="M721" s="306">
        <f t="shared" ca="1" si="335"/>
        <v>-0.93259712006356066</v>
      </c>
      <c r="N721" s="304">
        <f t="shared" ca="1" si="336"/>
        <v>-53.433878965697332</v>
      </c>
      <c r="P721" s="310">
        <f t="shared" ca="1" si="337"/>
        <v>23</v>
      </c>
      <c r="Q721" s="304">
        <f t="shared" ca="1" si="338"/>
        <v>0</v>
      </c>
      <c r="R721" s="306">
        <f t="shared" ca="1" si="339"/>
        <v>0</v>
      </c>
      <c r="S721" s="307">
        <f t="shared" ca="1" si="340"/>
        <v>12.409999999999973</v>
      </c>
      <c r="T721" s="304">
        <f t="shared" ca="1" si="320"/>
        <v>121.74209999999975</v>
      </c>
      <c r="U721" s="311">
        <f t="shared" ca="1" si="321"/>
        <v>0</v>
      </c>
      <c r="V721" s="306">
        <f t="shared" ca="1" si="322"/>
        <v>1.0021124614045624</v>
      </c>
      <c r="W721" s="304">
        <f t="shared" ca="1" si="323"/>
        <v>9.0557734671783976</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7.1108787009393239</v>
      </c>
      <c r="AH721" s="304">
        <f t="shared" ca="1" si="347"/>
        <v>-0.71288769923050599</v>
      </c>
    </row>
    <row r="722" spans="1:34" x14ac:dyDescent="0.25">
      <c r="A722" s="347">
        <f t="shared" ca="1" si="325"/>
        <v>0.1</v>
      </c>
      <c r="B722" s="304">
        <f t="shared" ca="1" si="326"/>
        <v>26.80000000000005</v>
      </c>
      <c r="D722" s="306">
        <f t="shared" ca="1" si="327"/>
        <v>-0.43472825410451876</v>
      </c>
      <c r="E722" s="307">
        <f t="shared" ca="1" si="328"/>
        <v>-9.223914221618756</v>
      </c>
      <c r="F722" s="304">
        <f t="shared" ca="1" si="329"/>
        <v>9.2341530322329781</v>
      </c>
      <c r="G722" s="306">
        <f t="shared" ca="1" si="330"/>
        <v>37.433850961446431</v>
      </c>
      <c r="H722" s="307">
        <f t="shared" ca="1" si="331"/>
        <v>-51.448038825758182</v>
      </c>
      <c r="I722" s="304">
        <f t="shared" ca="1" si="332"/>
        <v>63.625418637683673</v>
      </c>
      <c r="J722" s="306">
        <f t="shared" ca="1" si="333"/>
        <v>1097.1906096445568</v>
      </c>
      <c r="K722" s="307">
        <f t="shared" ca="1" si="334"/>
        <v>1996.48446389534</v>
      </c>
      <c r="L722" s="304">
        <f t="shared" ca="1" si="319"/>
        <v>2278.1083048151286</v>
      </c>
      <c r="M722" s="306">
        <f t="shared" ca="1" si="335"/>
        <v>-0.9417827418664434</v>
      </c>
      <c r="N722" s="304">
        <f t="shared" ca="1" si="336"/>
        <v>-53.960176327205865</v>
      </c>
      <c r="P722" s="310">
        <f t="shared" ca="1" si="337"/>
        <v>23</v>
      </c>
      <c r="Q722" s="304">
        <f t="shared" ca="1" si="338"/>
        <v>0</v>
      </c>
      <c r="R722" s="306">
        <f t="shared" ca="1" si="339"/>
        <v>0</v>
      </c>
      <c r="S722" s="307">
        <f t="shared" ca="1" si="340"/>
        <v>12.409999999999973</v>
      </c>
      <c r="T722" s="304">
        <f t="shared" ca="1" si="320"/>
        <v>121.74209999999975</v>
      </c>
      <c r="U722" s="311">
        <f t="shared" ca="1" si="321"/>
        <v>0</v>
      </c>
      <c r="V722" s="306">
        <f t="shared" ca="1" si="322"/>
        <v>1.0026286958685502</v>
      </c>
      <c r="W722" s="304">
        <f t="shared" ca="1" si="323"/>
        <v>9.2683319252715322</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7.149380713940201</v>
      </c>
      <c r="AH722" s="304">
        <f t="shared" ca="1" si="347"/>
        <v>-0.72971583136006579</v>
      </c>
    </row>
    <row r="723" spans="1:34" x14ac:dyDescent="0.25">
      <c r="A723" s="347">
        <f t="shared" ca="1" si="325"/>
        <v>0.1</v>
      </c>
      <c r="B723" s="304">
        <f t="shared" ca="1" si="326"/>
        <v>26.900000000000052</v>
      </c>
      <c r="D723" s="306">
        <f t="shared" ca="1" si="327"/>
        <v>-0.43940364098397533</v>
      </c>
      <c r="E723" s="307">
        <f t="shared" ca="1" si="328"/>
        <v>-9.2060959131667826</v>
      </c>
      <c r="F723" s="304">
        <f t="shared" ca="1" si="329"/>
        <v>9.216576236441389</v>
      </c>
      <c r="G723" s="306">
        <f t="shared" ca="1" si="330"/>
        <v>37.389910597348035</v>
      </c>
      <c r="H723" s="307">
        <f t="shared" ca="1" si="331"/>
        <v>-52.368648417074859</v>
      </c>
      <c r="I723" s="304">
        <f t="shared" ca="1" si="332"/>
        <v>64.346567519245937</v>
      </c>
      <c r="J723" s="306">
        <f t="shared" ca="1" si="333"/>
        <v>1100.9317977224966</v>
      </c>
      <c r="K723" s="307">
        <f t="shared" ca="1" si="334"/>
        <v>1991.2936295331983</v>
      </c>
      <c r="L723" s="304">
        <f t="shared" ca="1" si="319"/>
        <v>2275.3683530927442</v>
      </c>
      <c r="M723" s="306">
        <f t="shared" ca="1" si="335"/>
        <v>-0.95075255302898409</v>
      </c>
      <c r="N723" s="304">
        <f t="shared" ca="1" si="336"/>
        <v>-54.47410864984878</v>
      </c>
      <c r="P723" s="310">
        <f t="shared" ca="1" si="337"/>
        <v>23</v>
      </c>
      <c r="Q723" s="304">
        <f t="shared" ca="1" si="338"/>
        <v>0</v>
      </c>
      <c r="R723" s="306">
        <f t="shared" ca="1" si="339"/>
        <v>0</v>
      </c>
      <c r="S723" s="307">
        <f t="shared" ca="1" si="340"/>
        <v>12.409999999999973</v>
      </c>
      <c r="T723" s="304">
        <f t="shared" ca="1" si="320"/>
        <v>121.74209999999975</v>
      </c>
      <c r="U723" s="311">
        <f t="shared" ca="1" si="321"/>
        <v>0</v>
      </c>
      <c r="V723" s="306">
        <f t="shared" ca="1" si="322"/>
        <v>1.0031545062995055</v>
      </c>
      <c r="W723" s="304">
        <f t="shared" ca="1" si="323"/>
        <v>9.4845939127194701</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7.1856031654456949</v>
      </c>
      <c r="AH723" s="304">
        <f t="shared" ca="1" si="347"/>
        <v>-0.74684382959480677</v>
      </c>
    </row>
    <row r="724" spans="1:34" x14ac:dyDescent="0.25">
      <c r="A724" s="347">
        <f t="shared" ca="1" si="325"/>
        <v>0.1</v>
      </c>
      <c r="B724" s="304">
        <f t="shared" ca="1" si="326"/>
        <v>27.000000000000053</v>
      </c>
      <c r="D724" s="306">
        <f t="shared" ca="1" si="327"/>
        <v>-0.444095120431164</v>
      </c>
      <c r="E724" s="307">
        <f t="shared" ca="1" si="328"/>
        <v>-9.1879963403483593</v>
      </c>
      <c r="F724" s="304">
        <f t="shared" ca="1" si="329"/>
        <v>9.1987225866554763</v>
      </c>
      <c r="G724" s="306">
        <f t="shared" ca="1" si="330"/>
        <v>37.345501085304917</v>
      </c>
      <c r="H724" s="307">
        <f t="shared" ca="1" si="331"/>
        <v>-53.287448051109692</v>
      </c>
      <c r="I724" s="304">
        <f t="shared" ca="1" si="332"/>
        <v>65.071027125074835</v>
      </c>
      <c r="J724" s="306">
        <f t="shared" ca="1" si="333"/>
        <v>1104.6685683066294</v>
      </c>
      <c r="K724" s="307">
        <f t="shared" ca="1" si="334"/>
        <v>1986.0108247097892</v>
      </c>
      <c r="L724" s="304">
        <f t="shared" ca="1" si="319"/>
        <v>2272.5605914186481</v>
      </c>
      <c r="M724" s="306">
        <f t="shared" ca="1" si="335"/>
        <v>-0.95951279176611615</v>
      </c>
      <c r="N724" s="304">
        <f t="shared" ca="1" si="336"/>
        <v>-54.976033357013463</v>
      </c>
      <c r="P724" s="310">
        <f t="shared" ca="1" si="337"/>
        <v>23</v>
      </c>
      <c r="Q724" s="304">
        <f t="shared" ca="1" si="338"/>
        <v>0</v>
      </c>
      <c r="R724" s="306">
        <f t="shared" ca="1" si="339"/>
        <v>0</v>
      </c>
      <c r="S724" s="307">
        <f t="shared" ca="1" si="340"/>
        <v>12.409999999999973</v>
      </c>
      <c r="T724" s="304">
        <f t="shared" ca="1" si="320"/>
        <v>121.74209999999975</v>
      </c>
      <c r="U724" s="311">
        <f t="shared" ca="1" si="321"/>
        <v>0</v>
      </c>
      <c r="V724" s="306">
        <f t="shared" ca="1" si="322"/>
        <v>1.0036898878867806</v>
      </c>
      <c r="W724" s="304">
        <f t="shared" ca="1" si="323"/>
        <v>9.7045413609922164</v>
      </c>
      <c r="Y724" s="314" t="str">
        <f t="shared" ca="1" si="341"/>
        <v/>
      </c>
      <c r="Z724" s="315" t="str">
        <f t="shared" ca="1" si="342"/>
        <v/>
      </c>
      <c r="AA724" s="316" t="str">
        <f t="shared" ca="1" si="343"/>
        <v/>
      </c>
      <c r="AC724" s="310">
        <f t="shared" ca="1" si="344"/>
        <v>27.000000000000053</v>
      </c>
      <c r="AD724" s="323">
        <f t="shared" ca="1" si="345"/>
        <v>1104.6685683066294</v>
      </c>
      <c r="AE724" s="324" t="e">
        <f t="shared" ca="1" si="324"/>
        <v>#N/A</v>
      </c>
      <c r="AG724" s="306">
        <f t="shared" ca="1" si="346"/>
        <v>7.2196278848360569</v>
      </c>
      <c r="AH724" s="304">
        <f t="shared" ca="1" si="347"/>
        <v>-0.76427025888150601</v>
      </c>
    </row>
    <row r="725" spans="1:34" x14ac:dyDescent="0.25">
      <c r="A725" s="347">
        <f t="shared" ca="1" si="325"/>
        <v>0.1</v>
      </c>
      <c r="B725" s="304">
        <f t="shared" ca="1" si="326"/>
        <v>27.100000000000055</v>
      </c>
      <c r="D725" s="306">
        <f t="shared" ca="1" si="327"/>
        <v>-0.44880104848584135</v>
      </c>
      <c r="E725" s="307">
        <f t="shared" ca="1" si="328"/>
        <v>-9.1696159681498202</v>
      </c>
      <c r="F725" s="304">
        <f t="shared" ca="1" si="329"/>
        <v>9.1805925399437118</v>
      </c>
      <c r="G725" s="306">
        <f t="shared" ca="1" si="330"/>
        <v>37.30062098045633</v>
      </c>
      <c r="H725" s="307">
        <f t="shared" ca="1" si="331"/>
        <v>-54.204409647924678</v>
      </c>
      <c r="I725" s="304">
        <f t="shared" ca="1" si="332"/>
        <v>65.798589276729103</v>
      </c>
      <c r="J725" s="306">
        <f t="shared" ca="1" si="333"/>
        <v>1108.4008744099174</v>
      </c>
      <c r="K725" s="307">
        <f t="shared" ca="1" si="334"/>
        <v>1980.6362318248375</v>
      </c>
      <c r="L725" s="304">
        <f t="shared" ca="1" si="319"/>
        <v>2269.6855247390467</v>
      </c>
      <c r="M725" s="306">
        <f t="shared" ca="1" si="335"/>
        <v>-0.96806953211418112</v>
      </c>
      <c r="N725" s="304">
        <f t="shared" ca="1" si="336"/>
        <v>-55.466298465346888</v>
      </c>
      <c r="P725" s="310">
        <f t="shared" ca="1" si="337"/>
        <v>23</v>
      </c>
      <c r="Q725" s="304">
        <f t="shared" ca="1" si="338"/>
        <v>0</v>
      </c>
      <c r="R725" s="306">
        <f t="shared" ca="1" si="339"/>
        <v>0</v>
      </c>
      <c r="S725" s="307">
        <f t="shared" ca="1" si="340"/>
        <v>12.409999999999973</v>
      </c>
      <c r="T725" s="304">
        <f t="shared" ca="1" si="320"/>
        <v>121.74209999999975</v>
      </c>
      <c r="U725" s="311">
        <f t="shared" ca="1" si="321"/>
        <v>0</v>
      </c>
      <c r="V725" s="306">
        <f t="shared" ca="1" si="322"/>
        <v>1.0042348357530693</v>
      </c>
      <c r="W725" s="304">
        <f t="shared" ca="1" si="323"/>
        <v>9.9281559420307204</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7.2515335219945305</v>
      </c>
      <c r="AH725" s="304">
        <f t="shared" ca="1" si="347"/>
        <v>-0.78199366325481368</v>
      </c>
    </row>
    <row r="726" spans="1:34" x14ac:dyDescent="0.25">
      <c r="A726" s="347">
        <f t="shared" ca="1" si="325"/>
        <v>0.1</v>
      </c>
      <c r="B726" s="304">
        <f t="shared" ca="1" si="326"/>
        <v>27.200000000000056</v>
      </c>
      <c r="D726" s="306">
        <f t="shared" ca="1" si="327"/>
        <v>-0.45351983721667422</v>
      </c>
      <c r="E726" s="307">
        <f t="shared" ca="1" si="328"/>
        <v>-9.1509553408552406</v>
      </c>
      <c r="F726" s="304">
        <f t="shared" ca="1" si="329"/>
        <v>9.1621866327354464</v>
      </c>
      <c r="G726" s="306">
        <f t="shared" ca="1" si="330"/>
        <v>37.255268996734664</v>
      </c>
      <c r="H726" s="307">
        <f t="shared" ca="1" si="331"/>
        <v>-55.119505182010201</v>
      </c>
      <c r="I726" s="304">
        <f t="shared" ca="1" si="332"/>
        <v>66.529053198799616</v>
      </c>
      <c r="J726" s="306">
        <f t="shared" ca="1" si="333"/>
        <v>1112.1286689087769</v>
      </c>
      <c r="K726" s="307">
        <f t="shared" ca="1" si="334"/>
        <v>1975.1700360833408</v>
      </c>
      <c r="L726" s="304">
        <f t="shared" ca="1" si="319"/>
        <v>2266.7436660659878</v>
      </c>
      <c r="M726" s="306">
        <f t="shared" ca="1" si="335"/>
        <v>-0.97642868371906288</v>
      </c>
      <c r="N726" s="304">
        <f t="shared" ca="1" si="336"/>
        <v>-55.945242572616621</v>
      </c>
      <c r="P726" s="310">
        <f t="shared" ca="1" si="337"/>
        <v>23</v>
      </c>
      <c r="Q726" s="304">
        <f t="shared" ca="1" si="338"/>
        <v>0</v>
      </c>
      <c r="R726" s="306">
        <f t="shared" ca="1" si="339"/>
        <v>0</v>
      </c>
      <c r="S726" s="307">
        <f t="shared" ca="1" si="340"/>
        <v>12.409999999999973</v>
      </c>
      <c r="T726" s="304">
        <f t="shared" ca="1" si="320"/>
        <v>121.74209999999975</v>
      </c>
      <c r="U726" s="311">
        <f t="shared" ca="1" si="321"/>
        <v>0</v>
      </c>
      <c r="V726" s="306">
        <f t="shared" ca="1" si="322"/>
        <v>1.0047893449534975</v>
      </c>
      <c r="W726" s="304">
        <f t="shared" ca="1" si="323"/>
        <v>10.155419068376181</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7.2813956298587215</v>
      </c>
      <c r="AH726" s="304">
        <f t="shared" ca="1" si="347"/>
        <v>-0.80001256583648195</v>
      </c>
    </row>
    <row r="727" spans="1:34" x14ac:dyDescent="0.25">
      <c r="A727" s="347">
        <f t="shared" ca="1" si="325"/>
        <v>0.1</v>
      </c>
      <c r="B727" s="304">
        <f t="shared" ca="1" si="326"/>
        <v>27.300000000000058</v>
      </c>
      <c r="D727" s="306">
        <f t="shared" ca="1" si="327"/>
        <v>-0.45824995250764888</v>
      </c>
      <c r="E727" s="307">
        <f t="shared" ca="1" si="328"/>
        <v>-9.1320150783473046</v>
      </c>
      <c r="F727" s="304">
        <f t="shared" ca="1" si="329"/>
        <v>9.1435054771206747</v>
      </c>
      <c r="G727" s="306">
        <f t="shared" ca="1" si="330"/>
        <v>37.209444001483902</v>
      </c>
      <c r="H727" s="307">
        <f t="shared" ca="1" si="331"/>
        <v>-56.032706689844929</v>
      </c>
      <c r="I727" s="304">
        <f t="shared" ca="1" si="332"/>
        <v>67.26222522255533</v>
      </c>
      <c r="J727" s="306">
        <f t="shared" ca="1" si="333"/>
        <v>1115.8519045586879</v>
      </c>
      <c r="K727" s="307">
        <f t="shared" ca="1" si="334"/>
        <v>1969.6124254897481</v>
      </c>
      <c r="L727" s="304">
        <f t="shared" ca="1" si="319"/>
        <v>2263.7355365746371</v>
      </c>
      <c r="M727" s="306">
        <f t="shared" ca="1" si="335"/>
        <v>-0.98459599231486028</v>
      </c>
      <c r="N727" s="304">
        <f t="shared" ca="1" si="336"/>
        <v>-56.413194885136733</v>
      </c>
      <c r="P727" s="310">
        <f t="shared" ca="1" si="337"/>
        <v>23</v>
      </c>
      <c r="Q727" s="304">
        <f t="shared" ca="1" si="338"/>
        <v>0</v>
      </c>
      <c r="R727" s="306">
        <f t="shared" ca="1" si="339"/>
        <v>0</v>
      </c>
      <c r="S727" s="307">
        <f t="shared" ca="1" si="340"/>
        <v>12.409999999999973</v>
      </c>
      <c r="T727" s="304">
        <f t="shared" ca="1" si="320"/>
        <v>121.74209999999975</v>
      </c>
      <c r="U727" s="311">
        <f t="shared" ca="1" si="321"/>
        <v>0</v>
      </c>
      <c r="V727" s="306">
        <f t="shared" ca="1" si="322"/>
        <v>1.0053534104747726</v>
      </c>
      <c r="W727" s="304">
        <f t="shared" ca="1" si="323"/>
        <v>10.386311893431822</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7.30928675223534</v>
      </c>
      <c r="AH727" s="304">
        <f t="shared" ca="1" si="347"/>
        <v>-0.81832546884578594</v>
      </c>
    </row>
    <row r="728" spans="1:34" x14ac:dyDescent="0.25">
      <c r="A728" s="347">
        <f t="shared" ca="1" si="325"/>
        <v>0.1</v>
      </c>
      <c r="B728" s="304">
        <f t="shared" ca="1" si="326"/>
        <v>27.400000000000059</v>
      </c>
      <c r="D728" s="306">
        <f t="shared" ca="1" si="327"/>
        <v>-0.46298991191370126</v>
      </c>
      <c r="E728" s="307">
        <f t="shared" ca="1" si="328"/>
        <v>-9.1127958726396727</v>
      </c>
      <c r="F728" s="304">
        <f t="shared" ca="1" si="329"/>
        <v>9.1245497573815939</v>
      </c>
      <c r="G728" s="306">
        <f t="shared" ca="1" si="330"/>
        <v>37.163145010292531</v>
      </c>
      <c r="H728" s="307">
        <f t="shared" ca="1" si="331"/>
        <v>-56.943986277108898</v>
      </c>
      <c r="I728" s="304">
        <f t="shared" ca="1" si="332"/>
        <v>67.997918498904042</v>
      </c>
      <c r="J728" s="306">
        <f t="shared" ca="1" si="333"/>
        <v>1119.5705340092768</v>
      </c>
      <c r="K728" s="307">
        <f t="shared" ca="1" si="334"/>
        <v>1963.9635908414004</v>
      </c>
      <c r="L728" s="304">
        <f t="shared" ca="1" si="319"/>
        <v>2260.6616657015406</v>
      </c>
      <c r="M728" s="306">
        <f t="shared" ca="1" si="335"/>
        <v>-0.99257704079875408</v>
      </c>
      <c r="N728" s="304">
        <f t="shared" ca="1" si="336"/>
        <v>-56.87047527935313</v>
      </c>
      <c r="P728" s="310">
        <f t="shared" ca="1" si="337"/>
        <v>23</v>
      </c>
      <c r="Q728" s="304">
        <f t="shared" ca="1" si="338"/>
        <v>0</v>
      </c>
      <c r="R728" s="306">
        <f t="shared" ca="1" si="339"/>
        <v>0</v>
      </c>
      <c r="S728" s="307">
        <f t="shared" ca="1" si="340"/>
        <v>12.409999999999973</v>
      </c>
      <c r="T728" s="304">
        <f t="shared" ca="1" si="320"/>
        <v>121.74209999999975</v>
      </c>
      <c r="U728" s="311">
        <f t="shared" ca="1" si="321"/>
        <v>0</v>
      </c>
      <c r="V728" s="306">
        <f t="shared" ca="1" si="322"/>
        <v>1.0059270272343814</v>
      </c>
      <c r="W728" s="304">
        <f t="shared" ca="1" si="323"/>
        <v>10.620815311850935</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7.3352765155024029</v>
      </c>
      <c r="AH728" s="304">
        <f t="shared" ca="1" si="347"/>
        <v>-0.83693085362061592</v>
      </c>
    </row>
    <row r="729" spans="1:34" x14ac:dyDescent="0.25">
      <c r="A729" s="347">
        <f t="shared" ca="1" si="325"/>
        <v>0.1</v>
      </c>
      <c r="B729" s="304">
        <f t="shared" ca="1" si="326"/>
        <v>27.50000000000006</v>
      </c>
      <c r="D729" s="306">
        <f t="shared" ca="1" si="327"/>
        <v>-0.4677382825874567</v>
      </c>
      <c r="E729" s="307">
        <f t="shared" ca="1" si="328"/>
        <v>-9.0932984846260467</v>
      </c>
      <c r="F729" s="304">
        <f t="shared" ca="1" si="329"/>
        <v>9.10532022674108</v>
      </c>
      <c r="G729" s="306">
        <f t="shared" ca="1" si="330"/>
        <v>37.116371182033788</v>
      </c>
      <c r="H729" s="307">
        <f t="shared" ca="1" si="331"/>
        <v>-57.853316125571503</v>
      </c>
      <c r="I729" s="304">
        <f t="shared" ca="1" si="332"/>
        <v>68.735952720885592</v>
      </c>
      <c r="J729" s="306">
        <f t="shared" ca="1" si="333"/>
        <v>1123.2845098188932</v>
      </c>
      <c r="K729" s="307">
        <f t="shared" ca="1" si="334"/>
        <v>1958.2237257212664</v>
      </c>
      <c r="L729" s="304">
        <f t="shared" ca="1" si="319"/>
        <v>2257.5225912439391</v>
      </c>
      <c r="M729" s="306">
        <f t="shared" ca="1" si="335"/>
        <v>-1.0003772508172495</v>
      </c>
      <c r="N729" s="304">
        <f t="shared" ca="1" si="336"/>
        <v>-57.31739439272858</v>
      </c>
      <c r="P729" s="310">
        <f t="shared" ca="1" si="337"/>
        <v>23</v>
      </c>
      <c r="Q729" s="304">
        <f t="shared" ca="1" si="338"/>
        <v>0</v>
      </c>
      <c r="R729" s="306">
        <f t="shared" ca="1" si="339"/>
        <v>0</v>
      </c>
      <c r="S729" s="307">
        <f t="shared" ca="1" si="340"/>
        <v>12.409999999999973</v>
      </c>
      <c r="T729" s="304">
        <f t="shared" ca="1" si="320"/>
        <v>121.74209999999975</v>
      </c>
      <c r="U729" s="311">
        <f t="shared" ca="1" si="321"/>
        <v>0</v>
      </c>
      <c r="V729" s="306">
        <f t="shared" ca="1" si="322"/>
        <v>1.0065101900798439</v>
      </c>
      <c r="W729" s="304">
        <f t="shared" ca="1" si="323"/>
        <v>10.858909960045601</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7.3594317230108093</v>
      </c>
      <c r="AH729" s="304">
        <f t="shared" ca="1" si="347"/>
        <v>-0.85582718064874763</v>
      </c>
    </row>
    <row r="730" spans="1:34" x14ac:dyDescent="0.25">
      <c r="A730" s="347">
        <f t="shared" ca="1" si="325"/>
        <v>0.1</v>
      </c>
      <c r="B730" s="304">
        <f t="shared" ca="1" si="326"/>
        <v>27.600000000000062</v>
      </c>
      <c r="D730" s="306">
        <f t="shared" ca="1" si="327"/>
        <v>-0.47249367927822594</v>
      </c>
      <c r="E730" s="307">
        <f t="shared" ca="1" si="328"/>
        <v>-9.0735237410318472</v>
      </c>
      <c r="F730" s="304">
        <f t="shared" ca="1" si="329"/>
        <v>9.0858177043140387</v>
      </c>
      <c r="G730" s="306">
        <f t="shared" ca="1" si="330"/>
        <v>37.069121814105962</v>
      </c>
      <c r="H730" s="307">
        <f t="shared" ca="1" si="331"/>
        <v>-58.760668499674686</v>
      </c>
      <c r="I730" s="304">
        <f t="shared" ca="1" si="332"/>
        <v>69.476153855820826</v>
      </c>
      <c r="J730" s="306">
        <f t="shared" ca="1" si="333"/>
        <v>1126.9937844687001</v>
      </c>
      <c r="K730" s="307">
        <f t="shared" ca="1" si="334"/>
        <v>1952.3930264900041</v>
      </c>
      <c r="L730" s="304">
        <f t="shared" ca="1" si="319"/>
        <v>2254.3188594601875</v>
      </c>
      <c r="M730" s="306">
        <f t="shared" ca="1" si="335"/>
        <v>-1.0080018847877763</v>
      </c>
      <c r="N730" s="304">
        <f t="shared" ca="1" si="336"/>
        <v>-57.754253739571844</v>
      </c>
      <c r="P730" s="310">
        <f t="shared" ca="1" si="337"/>
        <v>23</v>
      </c>
      <c r="Q730" s="304">
        <f t="shared" ca="1" si="338"/>
        <v>0</v>
      </c>
      <c r="R730" s="306">
        <f t="shared" ca="1" si="339"/>
        <v>0</v>
      </c>
      <c r="S730" s="307">
        <f t="shared" ca="1" si="340"/>
        <v>12.409999999999973</v>
      </c>
      <c r="T730" s="304">
        <f t="shared" ca="1" si="320"/>
        <v>121.74209999999975</v>
      </c>
      <c r="U730" s="311">
        <f t="shared" ca="1" si="321"/>
        <v>0</v>
      </c>
      <c r="V730" s="306">
        <f t="shared" ca="1" si="322"/>
        <v>1.0071028937880069</v>
      </c>
      <c r="W730" s="304">
        <f t="shared" ca="1" si="323"/>
        <v>11.100576216810742</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7.3818164511650766</v>
      </c>
      <c r="AH730" s="304">
        <f t="shared" ca="1" si="347"/>
        <v>-0.8750128896088335</v>
      </c>
    </row>
    <row r="731" spans="1:34" x14ac:dyDescent="0.25">
      <c r="A731" s="347">
        <f t="shared" ca="1" si="325"/>
        <v>0.1</v>
      </c>
      <c r="B731" s="304">
        <f t="shared" ca="1" si="326"/>
        <v>27.700000000000063</v>
      </c>
      <c r="D731" s="306">
        <f t="shared" ca="1" si="327"/>
        <v>-0.47725476240375653</v>
      </c>
      <c r="E731" s="307">
        <f t="shared" ca="1" si="328"/>
        <v>-9.0534725315551832</v>
      </c>
      <c r="F731" s="304">
        <f t="shared" ca="1" si="329"/>
        <v>9.0660430722482932</v>
      </c>
      <c r="G731" s="306">
        <f t="shared" ca="1" si="330"/>
        <v>37.021396337865589</v>
      </c>
      <c r="H731" s="307">
        <f t="shared" ca="1" si="331"/>
        <v>-59.666015752830205</v>
      </c>
      <c r="I731" s="304">
        <f t="shared" ca="1" si="332"/>
        <v>70.218353887159083</v>
      </c>
      <c r="J731" s="306">
        <f t="shared" ca="1" si="333"/>
        <v>1130.6983103762987</v>
      </c>
      <c r="K731" s="307">
        <f t="shared" ca="1" si="334"/>
        <v>1946.4716922773789</v>
      </c>
      <c r="L731" s="304">
        <f t="shared" ca="1" si="319"/>
        <v>2251.0510251713486</v>
      </c>
      <c r="M731" s="306">
        <f t="shared" ca="1" si="335"/>
        <v>-1.0154560482877006</v>
      </c>
      <c r="N731" s="304">
        <f t="shared" ca="1" si="336"/>
        <v>-58.181345847917974</v>
      </c>
      <c r="P731" s="310">
        <f t="shared" ca="1" si="337"/>
        <v>23</v>
      </c>
      <c r="Q731" s="304">
        <f t="shared" ca="1" si="338"/>
        <v>0</v>
      </c>
      <c r="R731" s="306">
        <f t="shared" ca="1" si="339"/>
        <v>0</v>
      </c>
      <c r="S731" s="307">
        <f t="shared" ca="1" si="340"/>
        <v>12.409999999999973</v>
      </c>
      <c r="T731" s="304">
        <f t="shared" ca="1" si="320"/>
        <v>121.74209999999975</v>
      </c>
      <c r="U731" s="311">
        <f t="shared" ca="1" si="321"/>
        <v>0</v>
      </c>
      <c r="V731" s="306">
        <f t="shared" ca="1" si="322"/>
        <v>1.0077051330643882</v>
      </c>
      <c r="W731" s="304">
        <f t="shared" ca="1" si="323"/>
        <v>11.345794204058576</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7.4024921463125741</v>
      </c>
      <c r="AH731" s="304">
        <f t="shared" ca="1" si="347"/>
        <v>-0.89448639942069019</v>
      </c>
    </row>
    <row r="732" spans="1:34" x14ac:dyDescent="0.25">
      <c r="A732" s="347">
        <f t="shared" ca="1" si="325"/>
        <v>0.1</v>
      </c>
      <c r="B732" s="304">
        <f t="shared" ca="1" si="326"/>
        <v>27.800000000000065</v>
      </c>
      <c r="D732" s="306">
        <f t="shared" ca="1" si="327"/>
        <v>-0.48202023619469847</v>
      </c>
      <c r="E732" s="307">
        <f t="shared" ca="1" si="328"/>
        <v>-9.0331458061845229</v>
      </c>
      <c r="F732" s="304">
        <f t="shared" ca="1" si="329"/>
        <v>9.0459972730423832</v>
      </c>
      <c r="G732" s="306">
        <f t="shared" ca="1" si="330"/>
        <v>36.973194314246122</v>
      </c>
      <c r="H732" s="307">
        <f t="shared" ca="1" si="331"/>
        <v>-60.569330333448654</v>
      </c>
      <c r="I732" s="304">
        <f t="shared" ca="1" si="332"/>
        <v>70.962390565999286</v>
      </c>
      <c r="J732" s="306">
        <f t="shared" ca="1" si="333"/>
        <v>1134.3980399089041</v>
      </c>
      <c r="K732" s="307">
        <f t="shared" ca="1" si="334"/>
        <v>1940.459924973065</v>
      </c>
      <c r="L732" s="304">
        <f t="shared" ca="1" si="319"/>
        <v>2247.7196518640035</v>
      </c>
      <c r="M732" s="306">
        <f t="shared" ca="1" si="335"/>
        <v>-1.0227446927502037</v>
      </c>
      <c r="N732" s="304">
        <f t="shared" ca="1" si="336"/>
        <v>-58.598954413990796</v>
      </c>
      <c r="P732" s="310">
        <f t="shared" ca="1" si="337"/>
        <v>23</v>
      </c>
      <c r="Q732" s="304">
        <f t="shared" ca="1" si="338"/>
        <v>0</v>
      </c>
      <c r="R732" s="306">
        <f t="shared" ca="1" si="339"/>
        <v>0</v>
      </c>
      <c r="S732" s="307">
        <f t="shared" ca="1" si="340"/>
        <v>12.409999999999973</v>
      </c>
      <c r="T732" s="304">
        <f t="shared" ca="1" si="320"/>
        <v>121.74209999999975</v>
      </c>
      <c r="U732" s="311">
        <f t="shared" ca="1" si="321"/>
        <v>0</v>
      </c>
      <c r="V732" s="306">
        <f t="shared" ca="1" si="322"/>
        <v>1.0083169025425596</v>
      </c>
      <c r="W732" s="304">
        <f t="shared" ca="1" si="323"/>
        <v>11.594543787658825</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7.4215177217032622</v>
      </c>
      <c r="AH732" s="304">
        <f t="shared" ca="1" si="347"/>
        <v>-0.91424610830448028</v>
      </c>
    </row>
    <row r="733" spans="1:34" x14ac:dyDescent="0.25">
      <c r="A733" s="347">
        <f t="shared" ca="1" si="325"/>
        <v>0.1</v>
      </c>
      <c r="B733" s="304">
        <f t="shared" ca="1" si="326"/>
        <v>27.900000000000066</v>
      </c>
      <c r="D733" s="306">
        <f t="shared" ca="1" si="327"/>
        <v>-0.4867888469112851</v>
      </c>
      <c r="E733" s="307">
        <f t="shared" ca="1" si="328"/>
        <v>-9.0125445726812003</v>
      </c>
      <c r="F733" s="304">
        <f t="shared" ca="1" si="329"/>
        <v>9.0256813070284387</v>
      </c>
      <c r="G733" s="306">
        <f t="shared" ca="1" si="330"/>
        <v>36.924515429554994</v>
      </c>
      <c r="H733" s="307">
        <f t="shared" ca="1" si="331"/>
        <v>-61.470584790716771</v>
      </c>
      <c r="I733" s="304">
        <f t="shared" ca="1" si="332"/>
        <v>71.708107172202958</v>
      </c>
      <c r="J733" s="306">
        <f t="shared" ca="1" si="333"/>
        <v>1138.0929253960942</v>
      </c>
      <c r="K733" s="307">
        <f t="shared" ca="1" si="334"/>
        <v>1934.3579292168567</v>
      </c>
      <c r="L733" s="304">
        <f t="shared" ca="1" si="319"/>
        <v>2244.3253117943409</v>
      </c>
      <c r="M733" s="306">
        <f t="shared" ca="1" si="335"/>
        <v>-1.0298726184132188</v>
      </c>
      <c r="N733" s="304">
        <f t="shared" ca="1" si="336"/>
        <v>-59.007354471164547</v>
      </c>
      <c r="P733" s="310">
        <f t="shared" ca="1" si="337"/>
        <v>23</v>
      </c>
      <c r="Q733" s="304">
        <f t="shared" ca="1" si="338"/>
        <v>0</v>
      </c>
      <c r="R733" s="306">
        <f t="shared" ca="1" si="339"/>
        <v>0</v>
      </c>
      <c r="S733" s="307">
        <f t="shared" ca="1" si="340"/>
        <v>12.409999999999973</v>
      </c>
      <c r="T733" s="304">
        <f t="shared" ca="1" si="320"/>
        <v>121.74209999999975</v>
      </c>
      <c r="U733" s="311">
        <f t="shared" ca="1" si="321"/>
        <v>0</v>
      </c>
      <c r="V733" s="306">
        <f t="shared" ca="1" si="322"/>
        <v>1.0089381967835651</v>
      </c>
      <c r="W733" s="304">
        <f t="shared" ca="1" si="323"/>
        <v>11.846804578380318</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7.4389496538991784</v>
      </c>
      <c r="AH733" s="304">
        <f t="shared" ca="1" si="347"/>
        <v>-0.93429039384841661</v>
      </c>
    </row>
    <row r="734" spans="1:34" x14ac:dyDescent="0.25">
      <c r="A734" s="347">
        <f t="shared" ca="1" si="325"/>
        <v>0.1</v>
      </c>
      <c r="B734" s="304">
        <f t="shared" ca="1" si="326"/>
        <v>28.000000000000068</v>
      </c>
      <c r="D734" s="306">
        <f t="shared" ca="1" si="327"/>
        <v>-0.49155938113135039</v>
      </c>
      <c r="E734" s="307">
        <f t="shared" ca="1" si="328"/>
        <v>-8.9916698942155602</v>
      </c>
      <c r="F734" s="304">
        <f t="shared" ca="1" si="329"/>
        <v>9.0050962300089097</v>
      </c>
      <c r="G734" s="306">
        <f t="shared" ca="1" si="330"/>
        <v>36.875359491441856</v>
      </c>
      <c r="H734" s="307">
        <f t="shared" ca="1" si="331"/>
        <v>-62.36975178013833</v>
      </c>
      <c r="I734" s="304">
        <f t="shared" ca="1" si="332"/>
        <v>72.455352284970218</v>
      </c>
      <c r="J734" s="306">
        <f t="shared" ca="1" si="333"/>
        <v>1141.782919142144</v>
      </c>
      <c r="K734" s="307">
        <f t="shared" ca="1" si="334"/>
        <v>1928.1659123883139</v>
      </c>
      <c r="L734" s="304">
        <f t="shared" ca="1" si="319"/>
        <v>2240.8685860935743</v>
      </c>
      <c r="M734" s="306">
        <f t="shared" ca="1" si="335"/>
        <v>-1.0368444774737571</v>
      </c>
      <c r="N734" s="304">
        <f t="shared" ca="1" si="336"/>
        <v>-59.40681257069344</v>
      </c>
      <c r="P734" s="310">
        <f t="shared" ca="1" si="337"/>
        <v>23</v>
      </c>
      <c r="Q734" s="304">
        <f t="shared" ca="1" si="338"/>
        <v>0</v>
      </c>
      <c r="R734" s="306">
        <f t="shared" ca="1" si="339"/>
        <v>0</v>
      </c>
      <c r="S734" s="307">
        <f t="shared" ca="1" si="340"/>
        <v>12.409999999999973</v>
      </c>
      <c r="T734" s="304">
        <f t="shared" ca="1" si="320"/>
        <v>121.74209999999975</v>
      </c>
      <c r="U734" s="311">
        <f t="shared" ca="1" si="321"/>
        <v>0</v>
      </c>
      <c r="V734" s="306">
        <f t="shared" ca="1" si="322"/>
        <v>1.0095690102753854</v>
      </c>
      <c r="W734" s="304">
        <f t="shared" ca="1" si="323"/>
        <v>12.102555932930077</v>
      </c>
      <c r="Y734" s="314" t="str">
        <f t="shared" ca="1" si="341"/>
        <v/>
      </c>
      <c r="Z734" s="315" t="str">
        <f t="shared" ca="1" si="342"/>
        <v/>
      </c>
      <c r="AA734" s="316" t="str">
        <f t="shared" ca="1" si="343"/>
        <v/>
      </c>
      <c r="AC734" s="310">
        <f t="shared" ca="1" si="344"/>
        <v>28.000000000000068</v>
      </c>
      <c r="AD734" s="323">
        <f t="shared" ca="1" si="345"/>
        <v>1141.782919142144</v>
      </c>
      <c r="AE734" s="324" t="e">
        <f t="shared" ca="1" si="324"/>
        <v>#N/A</v>
      </c>
      <c r="AG734" s="306">
        <f t="shared" ca="1" si="346"/>
        <v>7.4548420781159388</v>
      </c>
      <c r="AH734" s="304">
        <f t="shared" ca="1" si="347"/>
        <v>-0.95461761308463688</v>
      </c>
    </row>
    <row r="735" spans="1:34" x14ac:dyDescent="0.25">
      <c r="A735" s="347">
        <f t="shared" ca="1" si="325"/>
        <v>0.1</v>
      </c>
      <c r="B735" s="304">
        <f t="shared" ca="1" si="326"/>
        <v>28.100000000000069</v>
      </c>
      <c r="D735" s="306">
        <f t="shared" ca="1" si="327"/>
        <v>-0.49633066410850091</v>
      </c>
      <c r="E735" s="307">
        <f t="shared" ca="1" si="328"/>
        <v>-8.9705228871462861</v>
      </c>
      <c r="F735" s="304">
        <f t="shared" ca="1" si="329"/>
        <v>8.9842431510366918</v>
      </c>
      <c r="G735" s="306">
        <f t="shared" ca="1" si="330"/>
        <v>36.825726425031007</v>
      </c>
      <c r="H735" s="307">
        <f t="shared" ca="1" si="331"/>
        <v>-63.266804068852956</v>
      </c>
      <c r="I735" s="304">
        <f t="shared" ca="1" si="332"/>
        <v>73.203979562711311</v>
      </c>
      <c r="J735" s="306">
        <f t="shared" ca="1" si="333"/>
        <v>1145.4679734379677</v>
      </c>
      <c r="K735" s="307">
        <f t="shared" ca="1" si="334"/>
        <v>1921.8840845958644</v>
      </c>
      <c r="L735" s="304">
        <f t="shared" ca="1" si="319"/>
        <v>2237.3500648747322</v>
      </c>
      <c r="M735" s="306">
        <f t="shared" ca="1" si="335"/>
        <v>-1.0436647774055119</v>
      </c>
      <c r="N735" s="304">
        <f t="shared" ca="1" si="336"/>
        <v>-59.797586971796349</v>
      </c>
      <c r="P735" s="310">
        <f t="shared" ca="1" si="337"/>
        <v>23</v>
      </c>
      <c r="Q735" s="304">
        <f t="shared" ca="1" si="338"/>
        <v>0</v>
      </c>
      <c r="R735" s="306">
        <f t="shared" ca="1" si="339"/>
        <v>0</v>
      </c>
      <c r="S735" s="307">
        <f t="shared" ca="1" si="340"/>
        <v>12.409999999999973</v>
      </c>
      <c r="T735" s="304">
        <f t="shared" ca="1" si="320"/>
        <v>121.74209999999975</v>
      </c>
      <c r="U735" s="311">
        <f t="shared" ca="1" si="321"/>
        <v>0</v>
      </c>
      <c r="V735" s="306">
        <f t="shared" ca="1" si="322"/>
        <v>1.0102093374324275</v>
      </c>
      <c r="W735" s="304">
        <f t="shared" ca="1" si="323"/>
        <v>12.36177695508594</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7.4692468820691635</v>
      </c>
      <c r="AH735" s="304">
        <f t="shared" ca="1" si="347"/>
        <v>-0.9752261025729333</v>
      </c>
    </row>
    <row r="736" spans="1:34" x14ac:dyDescent="0.25">
      <c r="A736" s="347">
        <f t="shared" ca="1" si="325"/>
        <v>0.1</v>
      </c>
      <c r="B736" s="304">
        <f t="shared" ca="1" si="326"/>
        <v>28.20000000000007</v>
      </c>
      <c r="D736" s="306">
        <f t="shared" ca="1" si="327"/>
        <v>-0.50110155819898961</v>
      </c>
      <c r="E736" s="307">
        <f t="shared" ca="1" si="328"/>
        <v>-8.9491047189330306</v>
      </c>
      <c r="F736" s="304">
        <f t="shared" ca="1" si="329"/>
        <v>8.9631232303287511</v>
      </c>
      <c r="G736" s="306">
        <f t="shared" ca="1" si="330"/>
        <v>36.775616269211106</v>
      </c>
      <c r="H736" s="307">
        <f t="shared" ca="1" si="331"/>
        <v>-64.16171454074626</v>
      </c>
      <c r="I736" s="304">
        <f t="shared" ca="1" si="332"/>
        <v>73.953847532014692</v>
      </c>
      <c r="J736" s="306">
        <f t="shared" ca="1" si="333"/>
        <v>1149.1480405726797</v>
      </c>
      <c r="K736" s="307">
        <f t="shared" ca="1" si="334"/>
        <v>1915.5126586653844</v>
      </c>
      <c r="L736" s="304">
        <f t="shared" ca="1" si="319"/>
        <v>2233.7703473408715</v>
      </c>
      <c r="M736" s="306">
        <f t="shared" ca="1" si="335"/>
        <v>-1.0503378844026567</v>
      </c>
      <c r="N736" s="304">
        <f t="shared" ca="1" si="336"/>
        <v>-60.17992783897197</v>
      </c>
      <c r="P736" s="310">
        <f t="shared" ca="1" si="337"/>
        <v>23</v>
      </c>
      <c r="Q736" s="304">
        <f t="shared" ca="1" si="338"/>
        <v>0</v>
      </c>
      <c r="R736" s="306">
        <f t="shared" ca="1" si="339"/>
        <v>0</v>
      </c>
      <c r="S736" s="307">
        <f t="shared" ca="1" si="340"/>
        <v>12.409999999999973</v>
      </c>
      <c r="T736" s="304">
        <f t="shared" ca="1" si="320"/>
        <v>121.74209999999975</v>
      </c>
      <c r="U736" s="311">
        <f t="shared" ca="1" si="321"/>
        <v>0</v>
      </c>
      <c r="V736" s="306">
        <f t="shared" ca="1" si="322"/>
        <v>1.0108591725950531</v>
      </c>
      <c r="W736" s="304">
        <f t="shared" ca="1" si="323"/>
        <v>12.624446496919296</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7.4822137979776269</v>
      </c>
      <c r="AH736" s="304">
        <f t="shared" ca="1" si="347"/>
        <v>-0.99611417849201989</v>
      </c>
    </row>
    <row r="737" spans="1:34" x14ac:dyDescent="0.25">
      <c r="A737" s="347">
        <f t="shared" ca="1" si="325"/>
        <v>0.1</v>
      </c>
      <c r="B737" s="304">
        <f t="shared" ca="1" si="326"/>
        <v>28.300000000000072</v>
      </c>
      <c r="D737" s="306">
        <f t="shared" ca="1" si="327"/>
        <v>-0.50587096135565091</v>
      </c>
      <c r="E737" s="307">
        <f t="shared" ca="1" si="328"/>
        <v>-8.9274166061731535</v>
      </c>
      <c r="F737" s="304">
        <f t="shared" ca="1" si="329"/>
        <v>8.9417376773040633</v>
      </c>
      <c r="G737" s="306">
        <f t="shared" ca="1" si="330"/>
        <v>36.725029173075541</v>
      </c>
      <c r="H737" s="307">
        <f t="shared" ca="1" si="331"/>
        <v>-65.054456201363578</v>
      </c>
      <c r="I737" s="304">
        <f t="shared" ca="1" si="332"/>
        <v>74.704819385487994</v>
      </c>
      <c r="J737" s="306">
        <f t="shared" ca="1" si="333"/>
        <v>1152.8230728447941</v>
      </c>
      <c r="K737" s="307">
        <f t="shared" ca="1" si="334"/>
        <v>1909.0518501282788</v>
      </c>
      <c r="L737" s="304">
        <f t="shared" ca="1" si="319"/>
        <v>2230.1300418947585</v>
      </c>
      <c r="M737" s="306">
        <f t="shared" ca="1" si="335"/>
        <v>-1.0568680269172868</v>
      </c>
      <c r="N737" s="304">
        <f t="shared" ca="1" si="336"/>
        <v>-60.554077444679216</v>
      </c>
      <c r="P737" s="310">
        <f t="shared" ca="1" si="337"/>
        <v>23</v>
      </c>
      <c r="Q737" s="304">
        <f t="shared" ca="1" si="338"/>
        <v>0</v>
      </c>
      <c r="R737" s="306">
        <f t="shared" ca="1" si="339"/>
        <v>0</v>
      </c>
      <c r="S737" s="307">
        <f t="shared" ca="1" si="340"/>
        <v>12.409999999999973</v>
      </c>
      <c r="T737" s="304">
        <f t="shared" ca="1" si="320"/>
        <v>121.74209999999975</v>
      </c>
      <c r="U737" s="311">
        <f t="shared" ca="1" si="321"/>
        <v>0</v>
      </c>
      <c r="V737" s="306">
        <f t="shared" ca="1" si="322"/>
        <v>1.0115185100291368</v>
      </c>
      <c r="W737" s="304">
        <f t="shared" ca="1" si="323"/>
        <v>12.890543160104597</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7.4937904924437628</v>
      </c>
      <c r="AH737" s="304">
        <f t="shared" ca="1" si="347"/>
        <v>-1.0172801367380599</v>
      </c>
    </row>
    <row r="738" spans="1:34" x14ac:dyDescent="0.25">
      <c r="A738" s="347">
        <f t="shared" ca="1" si="325"/>
        <v>0.1</v>
      </c>
      <c r="B738" s="304">
        <f t="shared" ca="1" si="326"/>
        <v>28.400000000000073</v>
      </c>
      <c r="D738" s="306">
        <f t="shared" ca="1" si="327"/>
        <v>-0.51063780568709549</v>
      </c>
      <c r="E738" s="307">
        <f t="shared" ca="1" si="328"/>
        <v>-8.905459812753918</v>
      </c>
      <c r="F738" s="304">
        <f t="shared" ca="1" si="329"/>
        <v>8.9200877487372274</v>
      </c>
      <c r="G738" s="306">
        <f t="shared" ca="1" si="330"/>
        <v>36.67396539250683</v>
      </c>
      <c r="H738" s="307">
        <f t="shared" ca="1" si="331"/>
        <v>-65.945002182638973</v>
      </c>
      <c r="I738" s="304">
        <f t="shared" ca="1" si="332"/>
        <v>75.456762788228914</v>
      </c>
      <c r="J738" s="306">
        <f t="shared" ca="1" si="333"/>
        <v>1156.4930225730732</v>
      </c>
      <c r="K738" s="307">
        <f t="shared" ca="1" si="334"/>
        <v>1902.5018772090787</v>
      </c>
      <c r="L738" s="304">
        <f t="shared" ca="1" si="319"/>
        <v>2226.4297662500544</v>
      </c>
      <c r="M738" s="306">
        <f t="shared" ca="1" si="335"/>
        <v>-1.0632592992620344</v>
      </c>
      <c r="N738" s="304">
        <f t="shared" ca="1" si="336"/>
        <v>-60.92027037575194</v>
      </c>
      <c r="P738" s="310">
        <f t="shared" ca="1" si="337"/>
        <v>23</v>
      </c>
      <c r="Q738" s="304">
        <f t="shared" ca="1" si="338"/>
        <v>0</v>
      </c>
      <c r="R738" s="306">
        <f t="shared" ca="1" si="339"/>
        <v>0</v>
      </c>
      <c r="S738" s="307">
        <f t="shared" ca="1" si="340"/>
        <v>12.409999999999973</v>
      </c>
      <c r="T738" s="304">
        <f t="shared" ca="1" si="320"/>
        <v>121.74209999999975</v>
      </c>
      <c r="U738" s="311">
        <f t="shared" ca="1" si="321"/>
        <v>0</v>
      </c>
      <c r="V738" s="306">
        <f t="shared" ca="1" si="322"/>
        <v>1.0121873439256528</v>
      </c>
      <c r="W738" s="304">
        <f t="shared" ca="1" si="323"/>
        <v>13.160045297312559</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7.5040226539918251</v>
      </c>
      <c r="AH738" s="304">
        <f t="shared" ca="1" si="347"/>
        <v>-1.0387222530301874</v>
      </c>
    </row>
    <row r="739" spans="1:34" x14ac:dyDescent="0.25">
      <c r="A739" s="347">
        <f t="shared" ca="1" si="325"/>
        <v>0.1</v>
      </c>
      <c r="B739" s="304">
        <f t="shared" ca="1" si="326"/>
        <v>28.500000000000075</v>
      </c>
      <c r="D739" s="306">
        <f t="shared" ca="1" si="327"/>
        <v>-0.51540105608023756</v>
      </c>
      <c r="E739" s="307">
        <f t="shared" ca="1" si="328"/>
        <v>-8.8832356481121053</v>
      </c>
      <c r="F739" s="304">
        <f t="shared" ca="1" si="329"/>
        <v>8.8981747470196559</v>
      </c>
      <c r="G739" s="306">
        <f t="shared" ca="1" si="330"/>
        <v>36.622425286898803</v>
      </c>
      <c r="H739" s="307">
        <f t="shared" ca="1" si="331"/>
        <v>-66.833325747450189</v>
      </c>
      <c r="I739" s="304">
        <f t="shared" ca="1" si="332"/>
        <v>76.209549692668261</v>
      </c>
      <c r="J739" s="306">
        <f t="shared" ca="1" si="333"/>
        <v>1160.1578421070435</v>
      </c>
      <c r="K739" s="307">
        <f t="shared" ca="1" si="334"/>
        <v>1895.8629608125741</v>
      </c>
      <c r="L739" s="304">
        <f t="shared" ca="1" si="319"/>
        <v>2222.6701475440505</v>
      </c>
      <c r="M739" s="306">
        <f t="shared" ca="1" si="335"/>
        <v>-1.0695156652530551</v>
      </c>
      <c r="N739" s="304">
        <f t="shared" ca="1" si="336"/>
        <v>-61.278733742126605</v>
      </c>
      <c r="P739" s="310">
        <f t="shared" ca="1" si="337"/>
        <v>23</v>
      </c>
      <c r="Q739" s="304">
        <f t="shared" ca="1" si="338"/>
        <v>0</v>
      </c>
      <c r="R739" s="306">
        <f t="shared" ca="1" si="339"/>
        <v>0</v>
      </c>
      <c r="S739" s="307">
        <f t="shared" ca="1" si="340"/>
        <v>12.409999999999973</v>
      </c>
      <c r="T739" s="304">
        <f t="shared" ca="1" si="320"/>
        <v>121.74209999999975</v>
      </c>
      <c r="U739" s="311">
        <f t="shared" ca="1" si="321"/>
        <v>0</v>
      </c>
      <c r="V739" s="306">
        <f t="shared" ca="1" si="322"/>
        <v>1.0128656684002908</v>
      </c>
      <c r="W739" s="304">
        <f t="shared" ca="1" si="323"/>
        <v>13.432931013684145</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7.512954078095393</v>
      </c>
      <c r="AH739" s="304">
        <f t="shared" ca="1" si="347"/>
        <v>-1.0604387830227708</v>
      </c>
    </row>
    <row r="740" spans="1:34" x14ac:dyDescent="0.25">
      <c r="A740" s="347">
        <f t="shared" ca="1" si="325"/>
        <v>0.1</v>
      </c>
      <c r="B740" s="304">
        <f t="shared" ca="1" si="326"/>
        <v>28.600000000000076</v>
      </c>
      <c r="D740" s="306">
        <f t="shared" ca="1" si="327"/>
        <v>-0.52015970888414287</v>
      </c>
      <c r="E740" s="307">
        <f t="shared" ca="1" si="328"/>
        <v>-8.8607454655934781</v>
      </c>
      <c r="F740" s="304">
        <f t="shared" ca="1" si="329"/>
        <v>8.8760000185208323</v>
      </c>
      <c r="G740" s="306">
        <f t="shared" ca="1" si="330"/>
        <v>36.570409316010391</v>
      </c>
      <c r="H740" s="307">
        <f t="shared" ca="1" si="331"/>
        <v>-67.719400294009532</v>
      </c>
      <c r="I740" s="304">
        <f t="shared" ca="1" si="332"/>
        <v>76.963056161517116</v>
      </c>
      <c r="J740" s="306">
        <f t="shared" ca="1" si="333"/>
        <v>1163.817483837189</v>
      </c>
      <c r="K740" s="307">
        <f t="shared" ca="1" si="334"/>
        <v>1889.1353245105011</v>
      </c>
      <c r="L740" s="304">
        <f t="shared" ca="1" si="319"/>
        <v>2218.8518224519912</v>
      </c>
      <c r="M740" s="306">
        <f t="shared" ca="1" si="335"/>
        <v>-1.0756409618718521</v>
      </c>
      <c r="N740" s="304">
        <f t="shared" ca="1" si="336"/>
        <v>-61.629687386649429</v>
      </c>
      <c r="P740" s="310">
        <f t="shared" ca="1" si="337"/>
        <v>23</v>
      </c>
      <c r="Q740" s="304">
        <f t="shared" ca="1" si="338"/>
        <v>0</v>
      </c>
      <c r="R740" s="306">
        <f t="shared" ca="1" si="339"/>
        <v>0</v>
      </c>
      <c r="S740" s="307">
        <f t="shared" ca="1" si="340"/>
        <v>12.409999999999973</v>
      </c>
      <c r="T740" s="304">
        <f t="shared" ca="1" si="320"/>
        <v>121.74209999999975</v>
      </c>
      <c r="U740" s="311">
        <f t="shared" ca="1" si="321"/>
        <v>0</v>
      </c>
      <c r="V740" s="306">
        <f t="shared" ca="1" si="322"/>
        <v>1.0135534774930983</v>
      </c>
      <c r="W740" s="304">
        <f t="shared" ca="1" si="323"/>
        <v>13.709178168382593</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7.5206267495702805</v>
      </c>
      <c r="AH740" s="304">
        <f t="shared" ca="1" si="347"/>
        <v>-1.0824279624241882</v>
      </c>
    </row>
    <row r="741" spans="1:34" x14ac:dyDescent="0.25">
      <c r="A741" s="347">
        <f t="shared" ca="1" si="325"/>
        <v>0.1</v>
      </c>
      <c r="B741" s="304">
        <f t="shared" ca="1" si="326"/>
        <v>28.700000000000077</v>
      </c>
      <c r="D741" s="306">
        <f t="shared" ca="1" si="327"/>
        <v>-0.52491279065312602</v>
      </c>
      <c r="E741" s="307">
        <f t="shared" ca="1" si="328"/>
        <v>-8.8379906609051151</v>
      </c>
      <c r="F741" s="304">
        <f t="shared" ca="1" si="329"/>
        <v>8.8535649520426105</v>
      </c>
      <c r="G741" s="306">
        <f t="shared" ca="1" si="330"/>
        <v>36.517918036945076</v>
      </c>
      <c r="H741" s="307">
        <f t="shared" ca="1" si="331"/>
        <v>-68.603199360100049</v>
      </c>
      <c r="I741" s="304">
        <f t="shared" ca="1" si="332"/>
        <v>77.717162198543193</v>
      </c>
      <c r="J741" s="306">
        <f t="shared" ca="1" si="333"/>
        <v>1167.4719002048369</v>
      </c>
      <c r="K741" s="307">
        <f t="shared" ca="1" si="334"/>
        <v>1882.3191945277956</v>
      </c>
      <c r="L741" s="304">
        <f t="shared" ca="1" si="319"/>
        <v>2214.9754373030105</v>
      </c>
      <c r="M741" s="306">
        <f t="shared" ca="1" si="335"/>
        <v>-1.0816389029273474</v>
      </c>
      <c r="N741" s="304">
        <f t="shared" ca="1" si="336"/>
        <v>-61.973344094897556</v>
      </c>
      <c r="P741" s="310">
        <f t="shared" ca="1" si="337"/>
        <v>23</v>
      </c>
      <c r="Q741" s="304">
        <f t="shared" ca="1" si="338"/>
        <v>0</v>
      </c>
      <c r="R741" s="306">
        <f t="shared" ca="1" si="339"/>
        <v>0</v>
      </c>
      <c r="S741" s="307">
        <f t="shared" ca="1" si="340"/>
        <v>12.409999999999973</v>
      </c>
      <c r="T741" s="304">
        <f t="shared" ca="1" si="320"/>
        <v>121.74209999999975</v>
      </c>
      <c r="U741" s="311">
        <f t="shared" ca="1" si="321"/>
        <v>0</v>
      </c>
      <c r="V741" s="306">
        <f t="shared" ca="1" si="322"/>
        <v>1.0142507651681474</v>
      </c>
      <c r="W741" s="304">
        <f t="shared" ca="1" si="323"/>
        <v>13.988764376220987</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7.5270809222467063</v>
      </c>
      <c r="AH741" s="304">
        <f t="shared" ca="1" si="347"/>
        <v>-1.1046880071218874</v>
      </c>
    </row>
    <row r="742" spans="1:34" x14ac:dyDescent="0.25">
      <c r="A742" s="347">
        <f t="shared" ca="1" si="325"/>
        <v>0.1</v>
      </c>
      <c r="B742" s="304">
        <f t="shared" ca="1" si="326"/>
        <v>28.800000000000079</v>
      </c>
      <c r="D742" s="306">
        <f t="shared" ca="1" si="327"/>
        <v>-0.52965935694699429</v>
      </c>
      <c r="E742" s="307">
        <f t="shared" ca="1" si="328"/>
        <v>-8.814972670654015</v>
      </c>
      <c r="F742" s="304">
        <f t="shared" ca="1" si="329"/>
        <v>8.8308709773599716</v>
      </c>
      <c r="G742" s="306">
        <f t="shared" ca="1" si="330"/>
        <v>36.464952101250375</v>
      </c>
      <c r="H742" s="307">
        <f t="shared" ca="1" si="331"/>
        <v>-69.484696627165448</v>
      </c>
      <c r="I742" s="304">
        <f t="shared" ca="1" si="332"/>
        <v>78.471751586897184</v>
      </c>
      <c r="J742" s="306">
        <f t="shared" ca="1" si="333"/>
        <v>1171.1210437117466</v>
      </c>
      <c r="K742" s="307">
        <f t="shared" ca="1" si="334"/>
        <v>1875.4147997284324</v>
      </c>
      <c r="L742" s="304">
        <f t="shared" ca="1" si="319"/>
        <v>2211.0416481977281</v>
      </c>
      <c r="M742" s="306">
        <f t="shared" ca="1" si="335"/>
        <v>-1.0875130827022219</v>
      </c>
      <c r="N742" s="304">
        <f t="shared" ca="1" si="336"/>
        <v>-62.309909804098972</v>
      </c>
      <c r="P742" s="310">
        <f t="shared" ca="1" si="337"/>
        <v>23</v>
      </c>
      <c r="Q742" s="304">
        <f t="shared" ca="1" si="338"/>
        <v>0</v>
      </c>
      <c r="R742" s="306">
        <f t="shared" ca="1" si="339"/>
        <v>0</v>
      </c>
      <c r="S742" s="307">
        <f t="shared" ca="1" si="340"/>
        <v>12.409999999999973</v>
      </c>
      <c r="T742" s="304">
        <f t="shared" ca="1" si="320"/>
        <v>121.74209999999975</v>
      </c>
      <c r="U742" s="311">
        <f t="shared" ca="1" si="321"/>
        <v>0</v>
      </c>
      <c r="V742" s="306">
        <f t="shared" ca="1" si="322"/>
        <v>1.0149575253132253</v>
      </c>
      <c r="W742" s="304">
        <f t="shared" ca="1" si="323"/>
        <v>14.271667009362897</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7.5323551958667982</v>
      </c>
      <c r="AH742" s="304">
        <f t="shared" ca="1" si="347"/>
        <v>-1.1272171133135387</v>
      </c>
    </row>
    <row r="743" spans="1:34" x14ac:dyDescent="0.25">
      <c r="A743" s="347">
        <f t="shared" ca="1" si="325"/>
        <v>0.1</v>
      </c>
      <c r="B743" s="304">
        <f t="shared" ca="1" si="326"/>
        <v>28.90000000000008</v>
      </c>
      <c r="D743" s="306">
        <f t="shared" ca="1" si="327"/>
        <v>-0.53439849118630511</v>
      </c>
      <c r="E743" s="307">
        <f t="shared" ca="1" si="328"/>
        <v>-8.791692970965892</v>
      </c>
      <c r="F743" s="304">
        <f t="shared" ca="1" si="329"/>
        <v>8.8079195638421481</v>
      </c>
      <c r="G743" s="306">
        <f t="shared" ca="1" si="330"/>
        <v>36.411512252131743</v>
      </c>
      <c r="H743" s="307">
        <f t="shared" ca="1" si="331"/>
        <v>-70.363865924262043</v>
      </c>
      <c r="I743" s="304">
        <f t="shared" ca="1" si="332"/>
        <v>79.226711734708928</v>
      </c>
      <c r="J743" s="306">
        <f t="shared" ca="1" si="333"/>
        <v>1174.7648669294156</v>
      </c>
      <c r="K743" s="307">
        <f t="shared" ca="1" si="334"/>
        <v>1868.422371600861</v>
      </c>
      <c r="L743" s="304">
        <f t="shared" ca="1" si="319"/>
        <v>2207.051121127527</v>
      </c>
      <c r="M743" s="306">
        <f t="shared" ca="1" si="335"/>
        <v>-1.0932669795698677</v>
      </c>
      <c r="N743" s="304">
        <f t="shared" ca="1" si="336"/>
        <v>-62.63958381036862</v>
      </c>
      <c r="P743" s="310">
        <f t="shared" ca="1" si="337"/>
        <v>23</v>
      </c>
      <c r="Q743" s="304">
        <f t="shared" ca="1" si="338"/>
        <v>0</v>
      </c>
      <c r="R743" s="306">
        <f t="shared" ca="1" si="339"/>
        <v>0</v>
      </c>
      <c r="S743" s="307">
        <f t="shared" ca="1" si="340"/>
        <v>12.409999999999973</v>
      </c>
      <c r="T743" s="304">
        <f t="shared" ca="1" si="320"/>
        <v>121.74209999999975</v>
      </c>
      <c r="U743" s="311">
        <f t="shared" ca="1" si="321"/>
        <v>0</v>
      </c>
      <c r="V743" s="306">
        <f t="shared" ca="1" si="322"/>
        <v>1.0156737517395498</v>
      </c>
      <c r="W743" s="304">
        <f t="shared" ca="1" si="323"/>
        <v>14.557863199093976</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7.5364865901809175</v>
      </c>
      <c r="AH743" s="304">
        <f t="shared" ca="1" si="347"/>
        <v>-1.1500134576440715</v>
      </c>
    </row>
    <row r="744" spans="1:34" x14ac:dyDescent="0.25">
      <c r="A744" s="347">
        <f t="shared" ca="1" si="325"/>
        <v>0.1</v>
      </c>
      <c r="B744" s="304">
        <f t="shared" ca="1" si="326"/>
        <v>29.000000000000082</v>
      </c>
      <c r="D744" s="306">
        <f t="shared" ca="1" si="327"/>
        <v>-0.53912930356052613</v>
      </c>
      <c r="E744" s="307">
        <f t="shared" ca="1" si="328"/>
        <v>-8.7681530761784643</v>
      </c>
      <c r="F744" s="304">
        <f t="shared" ca="1" si="329"/>
        <v>8.7847122191484175</v>
      </c>
      <c r="G744" s="306">
        <f t="shared" ca="1" si="330"/>
        <v>36.357599321775687</v>
      </c>
      <c r="H744" s="307">
        <f t="shared" ca="1" si="331"/>
        <v>-71.24068123187989</v>
      </c>
      <c r="I744" s="304">
        <f t="shared" ca="1" si="332"/>
        <v>79.981933527673036</v>
      </c>
      <c r="J744" s="306">
        <f t="shared" ca="1" si="333"/>
        <v>1178.4033225081109</v>
      </c>
      <c r="K744" s="307">
        <f t="shared" ca="1" si="334"/>
        <v>1861.3421442430538</v>
      </c>
      <c r="L744" s="304">
        <f t="shared" ca="1" si="319"/>
        <v>2203.0045320955392</v>
      </c>
      <c r="M744" s="306">
        <f t="shared" ca="1" si="335"/>
        <v>-1.0989039595703707</v>
      </c>
      <c r="N744" s="304">
        <f t="shared" ca="1" si="336"/>
        <v>-62.962558973597091</v>
      </c>
      <c r="P744" s="310">
        <f t="shared" ca="1" si="337"/>
        <v>23</v>
      </c>
      <c r="Q744" s="304">
        <f t="shared" ca="1" si="338"/>
        <v>0</v>
      </c>
      <c r="R744" s="306">
        <f t="shared" ca="1" si="339"/>
        <v>0</v>
      </c>
      <c r="S744" s="307">
        <f t="shared" ca="1" si="340"/>
        <v>12.409999999999973</v>
      </c>
      <c r="T744" s="304">
        <f t="shared" ca="1" si="320"/>
        <v>121.74209999999975</v>
      </c>
      <c r="U744" s="311">
        <f t="shared" ca="1" si="321"/>
        <v>0</v>
      </c>
      <c r="V744" s="306">
        <f t="shared" ca="1" si="322"/>
        <v>1.0163994381815031</v>
      </c>
      <c r="W744" s="304">
        <f t="shared" ca="1" si="323"/>
        <v>14.847329837662176</v>
      </c>
      <c r="Y744" s="314" t="str">
        <f t="shared" ca="1" si="341"/>
        <v/>
      </c>
      <c r="Z744" s="315" t="str">
        <f t="shared" ca="1" si="342"/>
        <v/>
      </c>
      <c r="AA744" s="316" t="str">
        <f t="shared" ca="1" si="343"/>
        <v/>
      </c>
      <c r="AC744" s="310">
        <f t="shared" ca="1" si="344"/>
        <v>29.000000000000082</v>
      </c>
      <c r="AD744" s="323">
        <f t="shared" ca="1" si="345"/>
        <v>1178.4033225081109</v>
      </c>
      <c r="AE744" s="324" t="e">
        <f t="shared" ca="1" si="324"/>
        <v>#N/A</v>
      </c>
      <c r="AG744" s="306">
        <f t="shared" ca="1" si="346"/>
        <v>7.5395106162390642</v>
      </c>
      <c r="AH744" s="304">
        <f t="shared" ca="1" si="347"/>
        <v>-1.1730751973484292</v>
      </c>
    </row>
    <row r="745" spans="1:34" x14ac:dyDescent="0.25">
      <c r="A745" s="347">
        <f t="shared" ca="1" si="325"/>
        <v>0.1</v>
      </c>
      <c r="B745" s="304">
        <f t="shared" ca="1" si="326"/>
        <v>29.100000000000083</v>
      </c>
      <c r="D745" s="306">
        <f t="shared" ca="1" si="327"/>
        <v>-0.54385092998698148</v>
      </c>
      <c r="E745" s="307">
        <f t="shared" ca="1" si="328"/>
        <v>-8.7443545376039502</v>
      </c>
      <c r="F745" s="304">
        <f t="shared" ca="1" si="329"/>
        <v>8.76125048799328</v>
      </c>
      <c r="G745" s="306">
        <f t="shared" ca="1" si="330"/>
        <v>36.303214228776987</v>
      </c>
      <c r="H745" s="307">
        <f t="shared" ca="1" si="331"/>
        <v>-72.115116685640288</v>
      </c>
      <c r="I745" s="304">
        <f t="shared" ca="1" si="332"/>
        <v>80.73731118834705</v>
      </c>
      <c r="J745" s="306">
        <f t="shared" ca="1" si="333"/>
        <v>1182.0363631856385</v>
      </c>
      <c r="K745" s="307">
        <f t="shared" ca="1" si="334"/>
        <v>1854.1743543471778</v>
      </c>
      <c r="L745" s="304">
        <f t="shared" ca="1" si="319"/>
        <v>2198.9025672393727</v>
      </c>
      <c r="M745" s="306">
        <f t="shared" ca="1" si="335"/>
        <v>-1.1044272799357728</v>
      </c>
      <c r="N745" s="304">
        <f t="shared" ca="1" si="336"/>
        <v>-63.279021919433291</v>
      </c>
      <c r="P745" s="310">
        <f t="shared" ca="1" si="337"/>
        <v>23</v>
      </c>
      <c r="Q745" s="304">
        <f t="shared" ca="1" si="338"/>
        <v>0</v>
      </c>
      <c r="R745" s="306">
        <f t="shared" ca="1" si="339"/>
        <v>0</v>
      </c>
      <c r="S745" s="307">
        <f t="shared" ca="1" si="340"/>
        <v>12.409999999999973</v>
      </c>
      <c r="T745" s="304">
        <f t="shared" ca="1" si="320"/>
        <v>121.74209999999975</v>
      </c>
      <c r="U745" s="311">
        <f t="shared" ca="1" si="321"/>
        <v>0</v>
      </c>
      <c r="V745" s="306">
        <f t="shared" ca="1" si="322"/>
        <v>1.0171345782963905</v>
      </c>
      <c r="W745" s="304">
        <f t="shared" ca="1" si="323"/>
        <v>15.140043580184852</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7.5414613448929524</v>
      </c>
      <c r="AH745" s="304">
        <f t="shared" ca="1" si="347"/>
        <v>-1.1964004703998556</v>
      </c>
    </row>
    <row r="746" spans="1:34" x14ac:dyDescent="0.25">
      <c r="A746" s="347">
        <f t="shared" ca="1" si="325"/>
        <v>0.1</v>
      </c>
      <c r="B746" s="304">
        <f t="shared" ca="1" si="326"/>
        <v>29.200000000000085</v>
      </c>
      <c r="D746" s="306">
        <f t="shared" ca="1" si="327"/>
        <v>-0.54856253111850728</v>
      </c>
      <c r="E746" s="307">
        <f t="shared" ca="1" si="328"/>
        <v>-8.720298942355825</v>
      </c>
      <c r="F746" s="304">
        <f t="shared" ca="1" si="329"/>
        <v>8.7375359509760671</v>
      </c>
      <c r="G746" s="306">
        <f t="shared" ca="1" si="330"/>
        <v>36.248357975665137</v>
      </c>
      <c r="H746" s="307">
        <f t="shared" ca="1" si="331"/>
        <v>-72.987146579875869</v>
      </c>
      <c r="I746" s="304">
        <f t="shared" ca="1" si="332"/>
        <v>81.49274214188803</v>
      </c>
      <c r="J746" s="306">
        <f t="shared" ca="1" si="333"/>
        <v>1185.6639417958606</v>
      </c>
      <c r="K746" s="307">
        <f t="shared" ca="1" si="334"/>
        <v>1846.9192411839019</v>
      </c>
      <c r="L746" s="304">
        <f t="shared" ca="1" si="319"/>
        <v>2194.7459229555975</v>
      </c>
      <c r="M746" s="306">
        <f t="shared" ca="1" si="335"/>
        <v>-1.1098400925564746</v>
      </c>
      <c r="N746" s="304">
        <f t="shared" ca="1" si="336"/>
        <v>-63.589153237894649</v>
      </c>
      <c r="P746" s="310">
        <f t="shared" ca="1" si="337"/>
        <v>23</v>
      </c>
      <c r="Q746" s="304">
        <f t="shared" ca="1" si="338"/>
        <v>0</v>
      </c>
      <c r="R746" s="306">
        <f t="shared" ca="1" si="339"/>
        <v>0</v>
      </c>
      <c r="S746" s="307">
        <f t="shared" ca="1" si="340"/>
        <v>12.409999999999973</v>
      </c>
      <c r="T746" s="304">
        <f t="shared" ca="1" si="320"/>
        <v>121.74209999999975</v>
      </c>
      <c r="U746" s="311">
        <f t="shared" ca="1" si="321"/>
        <v>0</v>
      </c>
      <c r="V746" s="306">
        <f t="shared" ca="1" si="322"/>
        <v>1.0178791656642132</v>
      </c>
      <c r="W746" s="304">
        <f t="shared" ca="1" si="323"/>
        <v>15.43598084662063</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7.5423714725400908</v>
      </c>
      <c r="AH746" s="304">
        <f t="shared" ca="1" si="347"/>
        <v>-1.2199873956635685</v>
      </c>
    </row>
    <row r="747" spans="1:34" x14ac:dyDescent="0.25">
      <c r="A747" s="347">
        <f t="shared" ca="1" si="325"/>
        <v>0.1</v>
      </c>
      <c r="B747" s="304">
        <f t="shared" ca="1" si="326"/>
        <v>29.300000000000086</v>
      </c>
      <c r="D747" s="306">
        <f t="shared" ca="1" si="327"/>
        <v>-0.55326329139777286</v>
      </c>
      <c r="E747" s="307">
        <f t="shared" ca="1" si="328"/>
        <v>-8.6959879122352763</v>
      </c>
      <c r="F747" s="304">
        <f t="shared" ca="1" si="329"/>
        <v>8.7135702234704198</v>
      </c>
      <c r="G747" s="306">
        <f t="shared" ca="1" si="330"/>
        <v>36.193031646525363</v>
      </c>
      <c r="H747" s="307">
        <f t="shared" ca="1" si="331"/>
        <v>-73.856745371099393</v>
      </c>
      <c r="I747" s="304">
        <f t="shared" ca="1" si="332"/>
        <v>82.248126887958961</v>
      </c>
      <c r="J747" s="306">
        <f t="shared" ca="1" si="333"/>
        <v>1189.2860112769702</v>
      </c>
      <c r="K747" s="307">
        <f t="shared" ca="1" si="334"/>
        <v>1839.5770465863532</v>
      </c>
      <c r="L747" s="304">
        <f t="shared" ca="1" si="319"/>
        <v>2190.5353060260077</v>
      </c>
      <c r="M747" s="306">
        <f t="shared" ca="1" si="335"/>
        <v>-1.115145447382083</v>
      </c>
      <c r="N747" s="304">
        <f t="shared" ca="1" si="336"/>
        <v>-63.893127678221369</v>
      </c>
      <c r="P747" s="310">
        <f t="shared" ca="1" si="337"/>
        <v>23</v>
      </c>
      <c r="Q747" s="304">
        <f t="shared" ca="1" si="338"/>
        <v>0</v>
      </c>
      <c r="R747" s="306">
        <f t="shared" ca="1" si="339"/>
        <v>0</v>
      </c>
      <c r="S747" s="307">
        <f t="shared" ca="1" si="340"/>
        <v>12.409999999999973</v>
      </c>
      <c r="T747" s="304">
        <f t="shared" ca="1" si="320"/>
        <v>121.74209999999975</v>
      </c>
      <c r="U747" s="311">
        <f t="shared" ca="1" si="321"/>
        <v>0</v>
      </c>
      <c r="V747" s="306">
        <f t="shared" ca="1" si="322"/>
        <v>1.0186331937874673</v>
      </c>
      <c r="W747" s="304">
        <f t="shared" ca="1" si="323"/>
        <v>15.735117823804449</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7.542272384154229</v>
      </c>
      <c r="AH747" s="304">
        <f t="shared" ca="1" si="347"/>
        <v>-1.2438340730556539</v>
      </c>
    </row>
    <row r="748" spans="1:34" x14ac:dyDescent="0.25">
      <c r="A748" s="347">
        <f t="shared" ca="1" si="325"/>
        <v>0.1</v>
      </c>
      <c r="B748" s="304">
        <f t="shared" ca="1" si="326"/>
        <v>29.400000000000087</v>
      </c>
      <c r="D748" s="306">
        <f t="shared" ca="1" si="327"/>
        <v>-0.55795241815626206</v>
      </c>
      <c r="E748" s="307">
        <f t="shared" ca="1" si="328"/>
        <v>-8.6714231026730708</v>
      </c>
      <c r="F748" s="304">
        <f t="shared" ca="1" si="329"/>
        <v>8.6893549545693372</v>
      </c>
      <c r="G748" s="306">
        <f t="shared" ca="1" si="330"/>
        <v>36.137236404709739</v>
      </c>
      <c r="H748" s="307">
        <f t="shared" ca="1" si="331"/>
        <v>-74.723887681366705</v>
      </c>
      <c r="I748" s="304">
        <f t="shared" ca="1" si="332"/>
        <v>83.003368878542432</v>
      </c>
      <c r="J748" s="306">
        <f t="shared" ca="1" si="333"/>
        <v>1192.902524679532</v>
      </c>
      <c r="K748" s="307">
        <f t="shared" ca="1" si="334"/>
        <v>1832.1480149337299</v>
      </c>
      <c r="L748" s="304">
        <f t="shared" ca="1" si="319"/>
        <v>2186.2714337456841</v>
      </c>
      <c r="M748" s="306">
        <f t="shared" ca="1" si="335"/>
        <v>-1.1203462957512549</v>
      </c>
      <c r="N748" s="304">
        <f t="shared" ca="1" si="336"/>
        <v>-64.19111433966242</v>
      </c>
      <c r="P748" s="310">
        <f t="shared" ca="1" si="337"/>
        <v>23</v>
      </c>
      <c r="Q748" s="304">
        <f t="shared" ca="1" si="338"/>
        <v>0</v>
      </c>
      <c r="R748" s="306">
        <f t="shared" ca="1" si="339"/>
        <v>0</v>
      </c>
      <c r="S748" s="307">
        <f t="shared" ca="1" si="340"/>
        <v>12.409999999999973</v>
      </c>
      <c r="T748" s="304">
        <f t="shared" ca="1" si="320"/>
        <v>121.74209999999975</v>
      </c>
      <c r="U748" s="311">
        <f t="shared" ca="1" si="321"/>
        <v>0</v>
      </c>
      <c r="V748" s="306">
        <f t="shared" ca="1" si="322"/>
        <v>1.0193966560909531</v>
      </c>
      <c r="W748" s="304">
        <f t="shared" ca="1" si="323"/>
        <v>16.037430467543956</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7.5411942136570715</v>
      </c>
      <c r="AH748" s="304">
        <f t="shared" ca="1" si="347"/>
        <v>-1.2679385837070494</v>
      </c>
    </row>
    <row r="749" spans="1:34" x14ac:dyDescent="0.25">
      <c r="A749" s="347">
        <f t="shared" ca="1" si="325"/>
        <v>0.1</v>
      </c>
      <c r="B749" s="304">
        <f t="shared" ca="1" si="326"/>
        <v>29.500000000000089</v>
      </c>
      <c r="D749" s="306">
        <f t="shared" ca="1" si="327"/>
        <v>-0.56262914075596637</v>
      </c>
      <c r="E749" s="307">
        <f t="shared" ca="1" si="328"/>
        <v>-8.6466062017229035</v>
      </c>
      <c r="F749" s="304">
        <f t="shared" ca="1" si="329"/>
        <v>8.6648918260818917</v>
      </c>
      <c r="G749" s="306">
        <f t="shared" ca="1" si="330"/>
        <v>36.080973490634143</v>
      </c>
      <c r="H749" s="307">
        <f t="shared" ca="1" si="331"/>
        <v>-75.588548301538992</v>
      </c>
      <c r="I749" s="304">
        <f t="shared" ca="1" si="332"/>
        <v>83.758374401405007</v>
      </c>
      <c r="J749" s="306">
        <f t="shared" ca="1" si="333"/>
        <v>1196.5134351742993</v>
      </c>
      <c r="K749" s="307">
        <f t="shared" ca="1" si="334"/>
        <v>1824.6323931345846</v>
      </c>
      <c r="L749" s="304">
        <f t="shared" ca="1" si="319"/>
        <v>2181.9550340528658</v>
      </c>
      <c r="M749" s="306">
        <f t="shared" ca="1" si="335"/>
        <v>-1.1254454936461999</v>
      </c>
      <c r="N749" s="304">
        <f t="shared" ca="1" si="336"/>
        <v>-64.483276857944759</v>
      </c>
      <c r="P749" s="310">
        <f t="shared" ca="1" si="337"/>
        <v>23</v>
      </c>
      <c r="Q749" s="304">
        <f t="shared" ca="1" si="338"/>
        <v>0</v>
      </c>
      <c r="R749" s="306">
        <f t="shared" ca="1" si="339"/>
        <v>0</v>
      </c>
      <c r="S749" s="307">
        <f t="shared" ca="1" si="340"/>
        <v>12.409999999999973</v>
      </c>
      <c r="T749" s="304">
        <f t="shared" ca="1" si="320"/>
        <v>121.74209999999975</v>
      </c>
      <c r="U749" s="311">
        <f t="shared" ca="1" si="321"/>
        <v>0</v>
      </c>
      <c r="V749" s="306">
        <f t="shared" ca="1" si="322"/>
        <v>1.0201695459216087</v>
      </c>
      <c r="W749" s="304">
        <f t="shared" ca="1" si="323"/>
        <v>16.342894504775739</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7.5391659016944566</v>
      </c>
      <c r="AH749" s="304">
        <f t="shared" ca="1" si="347"/>
        <v>-1.2922989901324731</v>
      </c>
    </row>
    <row r="750" spans="1:34" x14ac:dyDescent="0.25">
      <c r="A750" s="347">
        <f t="shared" ca="1" si="325"/>
        <v>0.1</v>
      </c>
      <c r="B750" s="304">
        <f t="shared" ca="1" si="326"/>
        <v>29.60000000000009</v>
      </c>
      <c r="D750" s="306">
        <f t="shared" ca="1" si="327"/>
        <v>-0.56729270977188928</v>
      </c>
      <c r="E750" s="307">
        <f t="shared" ca="1" si="328"/>
        <v>-8.6215389291024991</v>
      </c>
      <c r="F750" s="304">
        <f t="shared" ca="1" si="329"/>
        <v>8.6401825515778423</v>
      </c>
      <c r="G750" s="306">
        <f t="shared" ca="1" si="330"/>
        <v>36.024244219656957</v>
      </c>
      <c r="H750" s="307">
        <f t="shared" ca="1" si="331"/>
        <v>-76.450702194449235</v>
      </c>
      <c r="I750" s="304">
        <f t="shared" ca="1" si="332"/>
        <v>84.513052468963949</v>
      </c>
      <c r="J750" s="306">
        <f t="shared" ca="1" si="333"/>
        <v>1200.1186960598138</v>
      </c>
      <c r="K750" s="307">
        <f t="shared" ca="1" si="334"/>
        <v>1817.0304306097853</v>
      </c>
      <c r="L750" s="304">
        <f t="shared" ca="1" si="319"/>
        <v>2177.5868456606477</v>
      </c>
      <c r="M750" s="306">
        <f t="shared" ca="1" si="335"/>
        <v>-1.1304458048684696</v>
      </c>
      <c r="N750" s="304">
        <f t="shared" ca="1" si="336"/>
        <v>-64.76977358723272</v>
      </c>
      <c r="P750" s="310">
        <f t="shared" ca="1" si="337"/>
        <v>23</v>
      </c>
      <c r="Q750" s="304">
        <f t="shared" ca="1" si="338"/>
        <v>0</v>
      </c>
      <c r="R750" s="306">
        <f t="shared" ca="1" si="339"/>
        <v>0</v>
      </c>
      <c r="S750" s="307">
        <f t="shared" ca="1" si="340"/>
        <v>12.409999999999973</v>
      </c>
      <c r="T750" s="304">
        <f t="shared" ca="1" si="320"/>
        <v>121.74209999999975</v>
      </c>
      <c r="U750" s="311">
        <f t="shared" ca="1" si="321"/>
        <v>0</v>
      </c>
      <c r="V750" s="306">
        <f t="shared" ca="1" si="322"/>
        <v>1.0209518565483549</v>
      </c>
      <c r="W750" s="304">
        <f t="shared" ca="1" si="323"/>
        <v>16.651485435779929</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7.5362152508867819</v>
      </c>
      <c r="AH750" s="304">
        <f t="shared" ca="1" si="347"/>
        <v>-1.3169133364041719</v>
      </c>
    </row>
    <row r="751" spans="1:34" x14ac:dyDescent="0.25">
      <c r="A751" s="347">
        <f t="shared" ca="1" si="325"/>
        <v>0.1</v>
      </c>
      <c r="B751" s="304">
        <f t="shared" ca="1" si="326"/>
        <v>29.700000000000092</v>
      </c>
      <c r="D751" s="306">
        <f t="shared" ca="1" si="327"/>
        <v>-0.57194239621352827</v>
      </c>
      <c r="E751" s="307">
        <f t="shared" ca="1" si="328"/>
        <v>-8.5962230352790865</v>
      </c>
      <c r="F751" s="304">
        <f t="shared" ca="1" si="329"/>
        <v>8.6152288754768005</v>
      </c>
      <c r="G751" s="306">
        <f t="shared" ca="1" si="330"/>
        <v>35.967049980035604</v>
      </c>
      <c r="H751" s="307">
        <f t="shared" ca="1" si="331"/>
        <v>-77.310324497977149</v>
      </c>
      <c r="I751" s="304">
        <f t="shared" ca="1" si="332"/>
        <v>85.267314712314615</v>
      </c>
      <c r="J751" s="306">
        <f t="shared" ca="1" si="333"/>
        <v>1203.7182607697985</v>
      </c>
      <c r="K751" s="307">
        <f t="shared" ca="1" si="334"/>
        <v>1809.3423792751639</v>
      </c>
      <c r="L751" s="304">
        <f t="shared" ca="1" si="319"/>
        <v>2173.1676181905023</v>
      </c>
      <c r="M751" s="306">
        <f t="shared" ca="1" si="335"/>
        <v>-1.1353499041335089</v>
      </c>
      <c r="N751" s="304">
        <f t="shared" ca="1" si="336"/>
        <v>-65.050757777432679</v>
      </c>
      <c r="P751" s="310">
        <f t="shared" ca="1" si="337"/>
        <v>23</v>
      </c>
      <c r="Q751" s="304">
        <f t="shared" ca="1" si="338"/>
        <v>0</v>
      </c>
      <c r="R751" s="306">
        <f t="shared" ca="1" si="339"/>
        <v>0</v>
      </c>
      <c r="S751" s="307">
        <f t="shared" ca="1" si="340"/>
        <v>12.409999999999973</v>
      </c>
      <c r="T751" s="304">
        <f t="shared" ca="1" si="320"/>
        <v>121.74209999999975</v>
      </c>
      <c r="U751" s="311">
        <f t="shared" ca="1" si="321"/>
        <v>0</v>
      </c>
      <c r="V751" s="306">
        <f t="shared" ca="1" si="322"/>
        <v>1.0217435811619608</v>
      </c>
      <c r="W751" s="304">
        <f t="shared" ca="1" si="323"/>
        <v>16.963178536451615</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7.532368978628349</v>
      </c>
      <c r="AH751" s="304">
        <f t="shared" ca="1" si="347"/>
        <v>-1.3417796483303759</v>
      </c>
    </row>
    <row r="752" spans="1:34" x14ac:dyDescent="0.25">
      <c r="A752" s="347">
        <f t="shared" ca="1" si="325"/>
        <v>0.1</v>
      </c>
      <c r="B752" s="304">
        <f t="shared" ca="1" si="326"/>
        <v>29.800000000000093</v>
      </c>
      <c r="D752" s="306">
        <f t="shared" ca="1" si="327"/>
        <v>-0.57657749078354459</v>
      </c>
      <c r="E752" s="307">
        <f t="shared" ca="1" si="328"/>
        <v>-8.5706603005960211</v>
      </c>
      <c r="F752" s="304">
        <f t="shared" ca="1" si="329"/>
        <v>8.5900325721786945</v>
      </c>
      <c r="G752" s="306">
        <f t="shared" ca="1" si="330"/>
        <v>35.909392230957252</v>
      </c>
      <c r="H752" s="307">
        <f t="shared" ca="1" si="331"/>
        <v>-78.167390528036748</v>
      </c>
      <c r="I752" s="304">
        <f t="shared" ca="1" si="332"/>
        <v>86.021075280185514</v>
      </c>
      <c r="J752" s="306">
        <f t="shared" ca="1" si="333"/>
        <v>1207.312082880348</v>
      </c>
      <c r="K752" s="307">
        <f t="shared" ca="1" si="334"/>
        <v>1801.5684935238633</v>
      </c>
      <c r="L752" s="304">
        <f t="shared" ca="1" si="319"/>
        <v>2168.6981123076412</v>
      </c>
      <c r="M752" s="306">
        <f t="shared" ca="1" si="335"/>
        <v>-1.1401603800821805</v>
      </c>
      <c r="N752" s="304">
        <f t="shared" ca="1" si="336"/>
        <v>-65.326377746740746</v>
      </c>
      <c r="P752" s="310">
        <f t="shared" ca="1" si="337"/>
        <v>23</v>
      </c>
      <c r="Q752" s="304">
        <f t="shared" ca="1" si="338"/>
        <v>0</v>
      </c>
      <c r="R752" s="306">
        <f t="shared" ca="1" si="339"/>
        <v>0</v>
      </c>
      <c r="S752" s="307">
        <f t="shared" ca="1" si="340"/>
        <v>12.409999999999973</v>
      </c>
      <c r="T752" s="304">
        <f t="shared" ca="1" si="320"/>
        <v>121.74209999999975</v>
      </c>
      <c r="U752" s="311">
        <f t="shared" ca="1" si="321"/>
        <v>0</v>
      </c>
      <c r="V752" s="306">
        <f t="shared" ca="1" si="322"/>
        <v>1.0225447128749203</v>
      </c>
      <c r="W752" s="304">
        <f t="shared" ca="1" si="323"/>
        <v>17.277948860627784</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7.5276527675138967</v>
      </c>
      <c r="AH752" s="304">
        <f t="shared" ca="1" si="347"/>
        <v>-1.366895933638328</v>
      </c>
    </row>
    <row r="753" spans="1:34" x14ac:dyDescent="0.25">
      <c r="A753" s="347">
        <f t="shared" ca="1" si="325"/>
        <v>0.1</v>
      </c>
      <c r="B753" s="304">
        <f t="shared" ca="1" si="326"/>
        <v>29.900000000000095</v>
      </c>
      <c r="D753" s="306">
        <f t="shared" ca="1" si="327"/>
        <v>-0.58119730317191065</v>
      </c>
      <c r="E753" s="307">
        <f t="shared" ca="1" si="328"/>
        <v>-8.5448525344376343</v>
      </c>
      <c r="F753" s="304">
        <f t="shared" ca="1" si="329"/>
        <v>8.5645954452326336</v>
      </c>
      <c r="G753" s="306">
        <f t="shared" ca="1" si="330"/>
        <v>35.851272500640064</v>
      </c>
      <c r="H753" s="307">
        <f t="shared" ca="1" si="331"/>
        <v>-79.021875781480517</v>
      </c>
      <c r="I753" s="304">
        <f t="shared" ca="1" si="332"/>
        <v>86.774250742595797</v>
      </c>
      <c r="J753" s="306">
        <f t="shared" ca="1" si="333"/>
        <v>1210.9001161169278</v>
      </c>
      <c r="K753" s="307">
        <f t="shared" ca="1" si="334"/>
        <v>1793.7090302083875</v>
      </c>
      <c r="L753" s="304">
        <f t="shared" ca="1" si="319"/>
        <v>2164.1790998582128</v>
      </c>
      <c r="M753" s="306">
        <f t="shared" ca="1" si="335"/>
        <v>-1.1448797382081064</v>
      </c>
      <c r="N753" s="304">
        <f t="shared" ca="1" si="336"/>
        <v>-65.596777049367077</v>
      </c>
      <c r="P753" s="310">
        <f t="shared" ca="1" si="337"/>
        <v>23</v>
      </c>
      <c r="Q753" s="304">
        <f t="shared" ca="1" si="338"/>
        <v>0</v>
      </c>
      <c r="R753" s="306">
        <f t="shared" ca="1" si="339"/>
        <v>0</v>
      </c>
      <c r="S753" s="307">
        <f t="shared" ca="1" si="340"/>
        <v>12.409999999999973</v>
      </c>
      <c r="T753" s="304">
        <f t="shared" ca="1" si="320"/>
        <v>121.74209999999975</v>
      </c>
      <c r="U753" s="311">
        <f t="shared" ca="1" si="321"/>
        <v>0</v>
      </c>
      <c r="V753" s="306">
        <f t="shared" ca="1" si="322"/>
        <v>1.0233552447213465</v>
      </c>
      <c r="W753" s="304">
        <f t="shared" ca="1" si="323"/>
        <v>17.595771242468505</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7.5220913134730685</v>
      </c>
      <c r="AH753" s="304">
        <f t="shared" ca="1" si="347"/>
        <v>-1.3922601821617906</v>
      </c>
    </row>
    <row r="754" spans="1:34" x14ac:dyDescent="0.25">
      <c r="A754" s="347">
        <f t="shared" ca="1" si="325"/>
        <v>0.1</v>
      </c>
      <c r="B754" s="304">
        <f t="shared" ca="1" si="326"/>
        <v>30.000000000000096</v>
      </c>
      <c r="D754" s="306">
        <f t="shared" ca="1" si="327"/>
        <v>-0.58580116138387861</v>
      </c>
      <c r="E754" s="307">
        <f t="shared" ca="1" si="328"/>
        <v>-8.5188015744295438</v>
      </c>
      <c r="F754" s="304">
        <f t="shared" ca="1" si="329"/>
        <v>8.5389193265413841</v>
      </c>
      <c r="G754" s="306">
        <f t="shared" ca="1" si="330"/>
        <v>35.792692384501677</v>
      </c>
      <c r="H754" s="307">
        <f t="shared" ca="1" si="331"/>
        <v>-79.873755938923466</v>
      </c>
      <c r="I754" s="304">
        <f t="shared" ca="1" si="332"/>
        <v>87.526759998998457</v>
      </c>
      <c r="J754" s="306">
        <f t="shared" ca="1" si="333"/>
        <v>1214.482314361185</v>
      </c>
      <c r="K754" s="307">
        <f t="shared" ca="1" si="334"/>
        <v>1785.7642486223674</v>
      </c>
      <c r="L754" s="304">
        <f t="shared" ca="1" si="319"/>
        <v>2159.6113640083277</v>
      </c>
      <c r="M754" s="306">
        <f t="shared" ca="1" si="335"/>
        <v>-1.1495104037002355</v>
      </c>
      <c r="N754" s="304">
        <f t="shared" ca="1" si="336"/>
        <v>-65.862094638402937</v>
      </c>
      <c r="P754" s="310">
        <f t="shared" ca="1" si="337"/>
        <v>23</v>
      </c>
      <c r="Q754" s="304">
        <f t="shared" ca="1" si="338"/>
        <v>0</v>
      </c>
      <c r="R754" s="306">
        <f t="shared" ca="1" si="339"/>
        <v>0</v>
      </c>
      <c r="S754" s="307">
        <f t="shared" ca="1" si="340"/>
        <v>12.409999999999973</v>
      </c>
      <c r="T754" s="304">
        <f t="shared" ca="1" si="320"/>
        <v>121.74209999999975</v>
      </c>
      <c r="U754" s="311">
        <f t="shared" ca="1" si="321"/>
        <v>0</v>
      </c>
      <c r="V754" s="306">
        <f t="shared" ca="1" si="322"/>
        <v>1.0241751696568799</v>
      </c>
      <c r="W754" s="304">
        <f t="shared" ca="1" si="323"/>
        <v>17.916620298891104</v>
      </c>
      <c r="Y754" s="314" t="str">
        <f t="shared" ca="1" si="341"/>
        <v/>
      </c>
      <c r="Z754" s="315" t="str">
        <f t="shared" ca="1" si="342"/>
        <v/>
      </c>
      <c r="AA754" s="316" t="str">
        <f t="shared" ca="1" si="343"/>
        <v/>
      </c>
      <c r="AC754" s="310">
        <f t="shared" ca="1" si="344"/>
        <v>30.000000000000096</v>
      </c>
      <c r="AD754" s="323">
        <f t="shared" ca="1" si="345"/>
        <v>1214.482314361185</v>
      </c>
      <c r="AE754" s="324" t="e">
        <f t="shared" ca="1" si="324"/>
        <v>#N/A</v>
      </c>
      <c r="AG754" s="306">
        <f t="shared" ca="1" si="346"/>
        <v>7.5157083716949877</v>
      </c>
      <c r="AH754" s="304">
        <f t="shared" ca="1" si="347"/>
        <v>-1.4178703660329204</v>
      </c>
    </row>
    <row r="755" spans="1:34" x14ac:dyDescent="0.25">
      <c r="A755" s="347">
        <f t="shared" ca="1" si="325"/>
        <v>0.1</v>
      </c>
      <c r="B755" s="304">
        <f t="shared" ca="1" si="326"/>
        <v>30.100000000000097</v>
      </c>
      <c r="D755" s="306">
        <f t="shared" ca="1" si="327"/>
        <v>-0.59038841110017581</v>
      </c>
      <c r="E755" s="307">
        <f t="shared" ca="1" si="328"/>
        <v>-8.4925092856718667</v>
      </c>
      <c r="F755" s="304">
        <f t="shared" ca="1" si="329"/>
        <v>8.5130060755989287</v>
      </c>
      <c r="G755" s="306">
        <f t="shared" ca="1" si="330"/>
        <v>35.733653543391661</v>
      </c>
      <c r="H755" s="307">
        <f t="shared" ca="1" si="331"/>
        <v>-80.723006867490653</v>
      </c>
      <c r="I755" s="304">
        <f t="shared" ca="1" si="332"/>
        <v>88.27852419070048</v>
      </c>
      <c r="J755" s="306">
        <f t="shared" ca="1" si="333"/>
        <v>1218.0586316575796</v>
      </c>
      <c r="K755" s="307">
        <f t="shared" ca="1" si="334"/>
        <v>1777.7344104820468</v>
      </c>
      <c r="L755" s="304">
        <f t="shared" ca="1" si="319"/>
        <v>2154.9956993849164</v>
      </c>
      <c r="M755" s="306">
        <f t="shared" ca="1" si="335"/>
        <v>-1.154054724200503</v>
      </c>
      <c r="N755" s="304">
        <f t="shared" ca="1" si="336"/>
        <v>-66.122465023823054</v>
      </c>
      <c r="P755" s="310">
        <f t="shared" ca="1" si="337"/>
        <v>23</v>
      </c>
      <c r="Q755" s="304">
        <f t="shared" ca="1" si="338"/>
        <v>0</v>
      </c>
      <c r="R755" s="306">
        <f t="shared" ca="1" si="339"/>
        <v>0</v>
      </c>
      <c r="S755" s="307">
        <f t="shared" ca="1" si="340"/>
        <v>12.409999999999973</v>
      </c>
      <c r="T755" s="304">
        <f t="shared" ca="1" si="320"/>
        <v>121.74209999999975</v>
      </c>
      <c r="U755" s="311">
        <f t="shared" ca="1" si="321"/>
        <v>0</v>
      </c>
      <c r="V755" s="306">
        <f t="shared" ca="1" si="322"/>
        <v>1.0250044805586087</v>
      </c>
      <c r="W755" s="304">
        <f t="shared" ca="1" si="323"/>
        <v>18.240470432056011</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7.5085268004257539</v>
      </c>
      <c r="AH755" s="304">
        <f t="shared" ca="1" si="347"/>
        <v>-1.4437244398784159</v>
      </c>
    </row>
    <row r="756" spans="1:34" x14ac:dyDescent="0.25">
      <c r="A756" s="347">
        <f t="shared" ca="1" si="325"/>
        <v>0.1</v>
      </c>
      <c r="B756" s="304">
        <f t="shared" ca="1" si="326"/>
        <v>30.200000000000099</v>
      </c>
      <c r="D756" s="306">
        <f t="shared" ca="1" si="327"/>
        <v>-0.59495841506789804</v>
      </c>
      <c r="E756" s="307">
        <f t="shared" ca="1" si="328"/>
        <v>-8.4659775600029832</v>
      </c>
      <c r="F756" s="304">
        <f t="shared" ca="1" si="329"/>
        <v>8.4868575787587108</v>
      </c>
      <c r="G756" s="306">
        <f t="shared" ca="1" si="330"/>
        <v>35.674157701884873</v>
      </c>
      <c r="H756" s="307">
        <f t="shared" ca="1" si="331"/>
        <v>-81.569604623490946</v>
      </c>
      <c r="I756" s="304">
        <f t="shared" ca="1" si="332"/>
        <v>89.029466617359816</v>
      </c>
      <c r="J756" s="306">
        <f t="shared" ca="1" si="333"/>
        <v>1221.6290222198434</v>
      </c>
      <c r="K756" s="307">
        <f t="shared" ca="1" si="334"/>
        <v>1769.6197799074978</v>
      </c>
      <c r="L756" s="304">
        <f t="shared" ca="1" si="319"/>
        <v>2150.3329122184014</v>
      </c>
      <c r="M756" s="306">
        <f t="shared" ca="1" si="335"/>
        <v>-1.1585149724768733</v>
      </c>
      <c r="N756" s="304">
        <f t="shared" ca="1" si="336"/>
        <v>-66.378018425639567</v>
      </c>
      <c r="P756" s="310">
        <f t="shared" ca="1" si="337"/>
        <v>23</v>
      </c>
      <c r="Q756" s="304">
        <f t="shared" ca="1" si="338"/>
        <v>0</v>
      </c>
      <c r="R756" s="306">
        <f t="shared" ca="1" si="339"/>
        <v>0</v>
      </c>
      <c r="S756" s="307">
        <f t="shared" ca="1" si="340"/>
        <v>12.409999999999973</v>
      </c>
      <c r="T756" s="304">
        <f t="shared" ca="1" si="320"/>
        <v>121.74209999999975</v>
      </c>
      <c r="U756" s="311">
        <f t="shared" ca="1" si="321"/>
        <v>0</v>
      </c>
      <c r="V756" s="306">
        <f t="shared" ca="1" si="322"/>
        <v>1.0258431702250066</v>
      </c>
      <c r="W756" s="304">
        <f t="shared" ca="1" si="323"/>
        <v>18.567295831903454</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7.5005686027217555</v>
      </c>
      <c r="AH756" s="304">
        <f t="shared" ca="1" si="347"/>
        <v>-1.4698203410198267</v>
      </c>
    </row>
    <row r="757" spans="1:34" x14ac:dyDescent="0.25">
      <c r="A757" s="347">
        <f t="shared" ca="1" si="325"/>
        <v>0.1</v>
      </c>
      <c r="B757" s="304">
        <f t="shared" ca="1" si="326"/>
        <v>30.3000000000001</v>
      </c>
      <c r="D757" s="306">
        <f t="shared" ca="1" si="327"/>
        <v>-0.59951055252063956</v>
      </c>
      <c r="E757" s="307">
        <f t="shared" ca="1" si="328"/>
        <v>-8.4392083152916211</v>
      </c>
      <c r="F757" s="304">
        <f t="shared" ca="1" si="329"/>
        <v>8.4604757485303885</v>
      </c>
      <c r="G757" s="306">
        <f t="shared" ca="1" si="330"/>
        <v>35.614206646632809</v>
      </c>
      <c r="H757" s="307">
        <f t="shared" ca="1" si="331"/>
        <v>-82.413525455020107</v>
      </c>
      <c r="I757" s="304">
        <f t="shared" ca="1" si="332"/>
        <v>89.779512657366951</v>
      </c>
      <c r="J757" s="306">
        <f t="shared" ca="1" si="333"/>
        <v>1225.1934404372691</v>
      </c>
      <c r="K757" s="307">
        <f t="shared" ca="1" si="334"/>
        <v>1761.4206234035723</v>
      </c>
      <c r="L757" s="304">
        <f t="shared" ca="1" si="319"/>
        <v>2145.6238204871656</v>
      </c>
      <c r="M757" s="306">
        <f t="shared" ca="1" si="335"/>
        <v>-1.1628933490123896</v>
      </c>
      <c r="N757" s="304">
        <f t="shared" ca="1" si="336"/>
        <v>-66.628880922243766</v>
      </c>
      <c r="P757" s="310">
        <f t="shared" ca="1" si="337"/>
        <v>23</v>
      </c>
      <c r="Q757" s="304">
        <f t="shared" ca="1" si="338"/>
        <v>0</v>
      </c>
      <c r="R757" s="306">
        <f t="shared" ca="1" si="339"/>
        <v>0</v>
      </c>
      <c r="S757" s="307">
        <f t="shared" ca="1" si="340"/>
        <v>12.409999999999973</v>
      </c>
      <c r="T757" s="304">
        <f t="shared" ca="1" si="320"/>
        <v>121.74209999999975</v>
      </c>
      <c r="U757" s="311">
        <f t="shared" ca="1" si="321"/>
        <v>0</v>
      </c>
      <c r="V757" s="306">
        <f t="shared" ca="1" si="322"/>
        <v>1.0266912313758771</v>
      </c>
      <c r="W757" s="304">
        <f t="shared" ca="1" si="323"/>
        <v>18.897070478739465</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7.4918549662409415</v>
      </c>
      <c r="AH757" s="304">
        <f t="shared" ca="1" si="347"/>
        <v>-1.4961559896779608</v>
      </c>
    </row>
    <row r="758" spans="1:34" x14ac:dyDescent="0.25">
      <c r="A758" s="347">
        <f t="shared" ca="1" si="325"/>
        <v>0.1</v>
      </c>
      <c r="B758" s="304">
        <f t="shared" ca="1" si="326"/>
        <v>30.400000000000102</v>
      </c>
      <c r="D758" s="306">
        <f t="shared" ca="1" si="327"/>
        <v>-0.60404421862644109</v>
      </c>
      <c r="E758" s="307">
        <f t="shared" ca="1" si="328"/>
        <v>-8.4122034947552429</v>
      </c>
      <c r="F758" s="304">
        <f t="shared" ca="1" si="329"/>
        <v>8.433862522903036</v>
      </c>
      <c r="G758" s="306">
        <f t="shared" ca="1" si="330"/>
        <v>35.553802224770166</v>
      </c>
      <c r="H758" s="307">
        <f t="shared" ca="1" si="331"/>
        <v>-83.254745804495627</v>
      </c>
      <c r="I758" s="304">
        <f t="shared" ca="1" si="332"/>
        <v>90.528589691926911</v>
      </c>
      <c r="J758" s="306">
        <f t="shared" ca="1" si="333"/>
        <v>1228.7518408808394</v>
      </c>
      <c r="K758" s="307">
        <f t="shared" ca="1" si="334"/>
        <v>1753.1372098405966</v>
      </c>
      <c r="L758" s="304">
        <f t="shared" ca="1" si="319"/>
        <v>2140.8692540638076</v>
      </c>
      <c r="M758" s="306">
        <f t="shared" ca="1" si="335"/>
        <v>-1.1671919845111534</v>
      </c>
      <c r="N758" s="304">
        <f t="shared" ca="1" si="336"/>
        <v>-66.875174593988035</v>
      </c>
      <c r="P758" s="310">
        <f t="shared" ca="1" si="337"/>
        <v>23</v>
      </c>
      <c r="Q758" s="304">
        <f t="shared" ca="1" si="338"/>
        <v>0</v>
      </c>
      <c r="R758" s="306">
        <f t="shared" ca="1" si="339"/>
        <v>0</v>
      </c>
      <c r="S758" s="307">
        <f t="shared" ca="1" si="340"/>
        <v>12.409999999999973</v>
      </c>
      <c r="T758" s="304">
        <f t="shared" ca="1" si="320"/>
        <v>121.74209999999975</v>
      </c>
      <c r="U758" s="311">
        <f t="shared" ca="1" si="321"/>
        <v>0</v>
      </c>
      <c r="V758" s="306">
        <f t="shared" ca="1" si="322"/>
        <v>1.0275486566523186</v>
      </c>
      <c r="W758" s="304">
        <f t="shared" ca="1" si="323"/>
        <v>19.229768145870572</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7.4824063011532953</v>
      </c>
      <c r="AH758" s="304">
        <f t="shared" ca="1" si="347"/>
        <v>-1.5227292891812656</v>
      </c>
    </row>
    <row r="759" spans="1:34" x14ac:dyDescent="0.25">
      <c r="A759" s="347">
        <f t="shared" ca="1" si="325"/>
        <v>0.1</v>
      </c>
      <c r="B759" s="304">
        <f t="shared" ca="1" si="326"/>
        <v>30.500000000000103</v>
      </c>
      <c r="D759" s="306">
        <f t="shared" ca="1" si="327"/>
        <v>-0.60855882396222949</v>
      </c>
      <c r="E759" s="307">
        <f t="shared" ca="1" si="328"/>
        <v>-8.384965066302815</v>
      </c>
      <c r="F759" s="304">
        <f t="shared" ca="1" si="329"/>
        <v>8.4070198646928898</v>
      </c>
      <c r="G759" s="306">
        <f t="shared" ca="1" si="330"/>
        <v>35.492946342373941</v>
      </c>
      <c r="H759" s="307">
        <f t="shared" ca="1" si="331"/>
        <v>-84.093242311125906</v>
      </c>
      <c r="I759" s="304">
        <f t="shared" ca="1" si="332"/>
        <v>91.276627032665772</v>
      </c>
      <c r="J759" s="306">
        <f t="shared" ca="1" si="333"/>
        <v>1232.3041783091967</v>
      </c>
      <c r="K759" s="307">
        <f t="shared" ca="1" si="334"/>
        <v>1744.7698104348156</v>
      </c>
      <c r="L759" s="304">
        <f t="shared" ca="1" si="319"/>
        <v>2136.0700548631467</v>
      </c>
      <c r="M759" s="306">
        <f t="shared" ca="1" si="335"/>
        <v>-1.1714129423224044</v>
      </c>
      <c r="N759" s="304">
        <f t="shared" ca="1" si="336"/>
        <v>-67.117017662075511</v>
      </c>
      <c r="P759" s="310">
        <f t="shared" ca="1" si="337"/>
        <v>23</v>
      </c>
      <c r="Q759" s="304">
        <f t="shared" ca="1" si="338"/>
        <v>0</v>
      </c>
      <c r="R759" s="306">
        <f t="shared" ca="1" si="339"/>
        <v>0</v>
      </c>
      <c r="S759" s="307">
        <f t="shared" ca="1" si="340"/>
        <v>12.409999999999973</v>
      </c>
      <c r="T759" s="304">
        <f t="shared" ca="1" si="320"/>
        <v>121.74209999999975</v>
      </c>
      <c r="U759" s="311">
        <f t="shared" ca="1" si="321"/>
        <v>0</v>
      </c>
      <c r="V759" s="306">
        <f t="shared" ca="1" si="322"/>
        <v>1.0284154386166933</v>
      </c>
      <c r="W759" s="304">
        <f t="shared" ca="1" si="323"/>
        <v>19.565362402285867</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7.4722422762502063</v>
      </c>
      <c r="AH759" s="304">
        <f t="shared" ca="1" si="347"/>
        <v>-1.5495381261781316</v>
      </c>
    </row>
    <row r="760" spans="1:34" x14ac:dyDescent="0.25">
      <c r="A760" s="347">
        <f t="shared" ca="1" si="325"/>
        <v>0.1</v>
      </c>
      <c r="B760" s="304">
        <f t="shared" ca="1" si="326"/>
        <v>30.600000000000104</v>
      </c>
      <c r="D760" s="306">
        <f t="shared" ca="1" si="327"/>
        <v>-0.6130537940134464</v>
      </c>
      <c r="E760" s="307">
        <f t="shared" ca="1" si="328"/>
        <v>-8.3574950219001849</v>
      </c>
      <c r="F760" s="304">
        <f t="shared" ca="1" si="329"/>
        <v>8.3799497609138829</v>
      </c>
      <c r="G760" s="306">
        <f t="shared" ca="1" si="330"/>
        <v>35.431640962972594</v>
      </c>
      <c r="H760" s="307">
        <f t="shared" ca="1" si="331"/>
        <v>-84.928991813315918</v>
      </c>
      <c r="I760" s="304">
        <f t="shared" ca="1" si="332"/>
        <v>92.023555852592864</v>
      </c>
      <c r="J760" s="306">
        <f t="shared" ca="1" si="333"/>
        <v>1235.8504076744641</v>
      </c>
      <c r="K760" s="307">
        <f t="shared" ca="1" si="334"/>
        <v>1736.3186987285935</v>
      </c>
      <c r="L760" s="304">
        <f t="shared" ca="1" si="319"/>
        <v>2131.2270769919605</v>
      </c>
      <c r="M760" s="306">
        <f t="shared" ca="1" si="335"/>
        <v>-1.1755582207840729</v>
      </c>
      <c r="N760" s="304">
        <f t="shared" ca="1" si="336"/>
        <v>-67.354524622835584</v>
      </c>
      <c r="P760" s="310">
        <f t="shared" ca="1" si="337"/>
        <v>23</v>
      </c>
      <c r="Q760" s="304">
        <f t="shared" ca="1" si="338"/>
        <v>0</v>
      </c>
      <c r="R760" s="306">
        <f t="shared" ca="1" si="339"/>
        <v>0</v>
      </c>
      <c r="S760" s="307">
        <f t="shared" ca="1" si="340"/>
        <v>12.409999999999973</v>
      </c>
      <c r="T760" s="304">
        <f t="shared" ca="1" si="320"/>
        <v>121.74209999999975</v>
      </c>
      <c r="U760" s="311">
        <f t="shared" ca="1" si="321"/>
        <v>0</v>
      </c>
      <c r="V760" s="306">
        <f t="shared" ca="1" si="322"/>
        <v>1.0292915697526148</v>
      </c>
      <c r="W760" s="304">
        <f t="shared" ca="1" si="323"/>
        <v>19.903826615385615</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7.4613818533307654</v>
      </c>
      <c r="AH760" s="304">
        <f t="shared" ca="1" si="347"/>
        <v>-1.5765803708530144</v>
      </c>
    </row>
    <row r="761" spans="1:34" x14ac:dyDescent="0.25">
      <c r="A761" s="347">
        <f t="shared" ca="1" si="325"/>
        <v>0.1</v>
      </c>
      <c r="B761" s="304">
        <f t="shared" ca="1" si="326"/>
        <v>30.700000000000106</v>
      </c>
      <c r="D761" s="306">
        <f t="shared" ca="1" si="327"/>
        <v>-0.61752856869764505</v>
      </c>
      <c r="E761" s="307">
        <f t="shared" ca="1" si="328"/>
        <v>-8.3297953769564579</v>
      </c>
      <c r="F761" s="304">
        <f t="shared" ca="1" si="329"/>
        <v>8.3526542221693187</v>
      </c>
      <c r="G761" s="306">
        <f t="shared" ca="1" si="330"/>
        <v>35.369888106102827</v>
      </c>
      <c r="H761" s="307">
        <f t="shared" ca="1" si="331"/>
        <v>-85.761971351011567</v>
      </c>
      <c r="I761" s="304">
        <f t="shared" ca="1" si="332"/>
        <v>92.769309120257887</v>
      </c>
      <c r="J761" s="306">
        <f t="shared" ca="1" si="333"/>
        <v>1239.3904841279179</v>
      </c>
      <c r="K761" s="307">
        <f t="shared" ca="1" si="334"/>
        <v>1727.7841505703771</v>
      </c>
      <c r="L761" s="304">
        <f t="shared" ca="1" si="319"/>
        <v>2126.3411869004076</v>
      </c>
      <c r="M761" s="306">
        <f t="shared" ca="1" si="335"/>
        <v>-1.1796297554873436</v>
      </c>
      <c r="N761" s="304">
        <f t="shared" ca="1" si="336"/>
        <v>-67.587806377474053</v>
      </c>
      <c r="P761" s="310">
        <f t="shared" ca="1" si="337"/>
        <v>23</v>
      </c>
      <c r="Q761" s="304">
        <f t="shared" ca="1" si="338"/>
        <v>0</v>
      </c>
      <c r="R761" s="306">
        <f t="shared" ca="1" si="339"/>
        <v>0</v>
      </c>
      <c r="S761" s="307">
        <f t="shared" ca="1" si="340"/>
        <v>12.409999999999973</v>
      </c>
      <c r="T761" s="304">
        <f t="shared" ca="1" si="320"/>
        <v>121.74209999999975</v>
      </c>
      <c r="U761" s="311">
        <f t="shared" ca="1" si="321"/>
        <v>0</v>
      </c>
      <c r="V761" s="306">
        <f t="shared" ca="1" si="322"/>
        <v>1.0301770424649446</v>
      </c>
      <c r="W761" s="304">
        <f t="shared" ca="1" si="323"/>
        <v>20.245133953755385</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7.4498433199410217</v>
      </c>
      <c r="AH761" s="304">
        <f t="shared" ca="1" si="347"/>
        <v>-1.603853877146306</v>
      </c>
    </row>
    <row r="762" spans="1:34" x14ac:dyDescent="0.25">
      <c r="A762" s="347">
        <f t="shared" ca="1" si="325"/>
        <v>0.1</v>
      </c>
      <c r="B762" s="304">
        <f t="shared" ca="1" si="326"/>
        <v>30.800000000000107</v>
      </c>
      <c r="D762" s="306">
        <f t="shared" ca="1" si="327"/>
        <v>-0.62198260191088162</v>
      </c>
      <c r="E762" s="307">
        <f t="shared" ca="1" si="328"/>
        <v>-8.3018681697298113</v>
      </c>
      <c r="F762" s="304">
        <f t="shared" ca="1" si="329"/>
        <v>8.3251352820631599</v>
      </c>
      <c r="G762" s="306">
        <f t="shared" ca="1" si="330"/>
        <v>35.307689845911739</v>
      </c>
      <c r="H762" s="307">
        <f t="shared" ca="1" si="331"/>
        <v>-86.59215816798455</v>
      </c>
      <c r="I762" s="304">
        <f t="shared" ca="1" si="332"/>
        <v>93.513821536949038</v>
      </c>
      <c r="J762" s="306">
        <f t="shared" ca="1" si="333"/>
        <v>1242.9243630255187</v>
      </c>
      <c r="K762" s="307">
        <f t="shared" ca="1" si="334"/>
        <v>1719.1664440944273</v>
      </c>
      <c r="L762" s="304">
        <f t="shared" ca="1" si="319"/>
        <v>2121.4132635351061</v>
      </c>
      <c r="M762" s="306">
        <f t="shared" ca="1" si="335"/>
        <v>-1.1836294214639134</v>
      </c>
      <c r="N762" s="304">
        <f t="shared" ca="1" si="336"/>
        <v>-67.816970357393572</v>
      </c>
      <c r="P762" s="310">
        <f t="shared" ca="1" si="337"/>
        <v>23</v>
      </c>
      <c r="Q762" s="304">
        <f t="shared" ca="1" si="338"/>
        <v>0</v>
      </c>
      <c r="R762" s="306">
        <f t="shared" ca="1" si="339"/>
        <v>0</v>
      </c>
      <c r="S762" s="307">
        <f t="shared" ca="1" si="340"/>
        <v>12.409999999999973</v>
      </c>
      <c r="T762" s="304">
        <f t="shared" ca="1" si="320"/>
        <v>121.74209999999975</v>
      </c>
      <c r="U762" s="311">
        <f t="shared" ca="1" si="321"/>
        <v>0</v>
      </c>
      <c r="V762" s="306">
        <f t="shared" ca="1" si="322"/>
        <v>1.0310718490797977</v>
      </c>
      <c r="W762" s="304">
        <f t="shared" ca="1" si="323"/>
        <v>20.589257389984741</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7.4376443205400715</v>
      </c>
      <c r="AH762" s="304">
        <f t="shared" ca="1" si="347"/>
        <v>-1.6313564829778751</v>
      </c>
    </row>
    <row r="763" spans="1:34" x14ac:dyDescent="0.25">
      <c r="A763" s="347">
        <f t="shared" ca="1" si="325"/>
        <v>0.1</v>
      </c>
      <c r="B763" s="304">
        <f t="shared" ca="1" si="326"/>
        <v>30.900000000000109</v>
      </c>
      <c r="D763" s="306">
        <f t="shared" ca="1" si="327"/>
        <v>-0.62641536109577733</v>
      </c>
      <c r="E763" s="307">
        <f t="shared" ca="1" si="328"/>
        <v>-8.273715460751351</v>
      </c>
      <c r="F763" s="304">
        <f t="shared" ca="1" si="329"/>
        <v>8.2973949966295262</v>
      </c>
      <c r="G763" s="306">
        <f t="shared" ca="1" si="330"/>
        <v>35.245048309802158</v>
      </c>
      <c r="H763" s="307">
        <f t="shared" ca="1" si="331"/>
        <v>-87.419529714059692</v>
      </c>
      <c r="I763" s="304">
        <f t="shared" ca="1" si="332"/>
        <v>94.257029476785732</v>
      </c>
      <c r="J763" s="306">
        <f t="shared" ca="1" si="333"/>
        <v>1246.4519999333045</v>
      </c>
      <c r="K763" s="307">
        <f t="shared" ca="1" si="334"/>
        <v>1710.4658597003252</v>
      </c>
      <c r="L763" s="304">
        <f t="shared" ca="1" si="319"/>
        <v>2116.4441984938103</v>
      </c>
      <c r="M763" s="306">
        <f t="shared" ca="1" si="335"/>
        <v>-1.1875590352977261</v>
      </c>
      <c r="N763" s="304">
        <f t="shared" ca="1" si="336"/>
        <v>-68.042120645187268</v>
      </c>
      <c r="P763" s="310">
        <f t="shared" ca="1" si="337"/>
        <v>23</v>
      </c>
      <c r="Q763" s="304">
        <f t="shared" ca="1" si="338"/>
        <v>0</v>
      </c>
      <c r="R763" s="306">
        <f t="shared" ca="1" si="339"/>
        <v>0</v>
      </c>
      <c r="S763" s="307">
        <f t="shared" ca="1" si="340"/>
        <v>12.409999999999973</v>
      </c>
      <c r="T763" s="304">
        <f t="shared" ca="1" si="320"/>
        <v>121.74209999999975</v>
      </c>
      <c r="U763" s="311">
        <f t="shared" ca="1" si="321"/>
        <v>0</v>
      </c>
      <c r="V763" s="306">
        <f t="shared" ca="1" si="322"/>
        <v>1.0319759818445629</v>
      </c>
      <c r="W763" s="304">
        <f t="shared" ca="1" si="323"/>
        <v>20.936169703529746</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7.4248018861645653</v>
      </c>
      <c r="AH763" s="304">
        <f t="shared" ca="1" si="347"/>
        <v>-1.6590860104741971</v>
      </c>
    </row>
    <row r="764" spans="1:34" x14ac:dyDescent="0.25">
      <c r="A764" s="347">
        <f t="shared" ca="1" si="325"/>
        <v>0.1</v>
      </c>
      <c r="B764" s="304">
        <f t="shared" ca="1" si="326"/>
        <v>31.00000000000011</v>
      </c>
      <c r="D764" s="306">
        <f t="shared" ca="1" si="327"/>
        <v>-0.63082632683019135</v>
      </c>
      <c r="E764" s="307">
        <f t="shared" ca="1" si="328"/>
        <v>-8.24533933226569</v>
      </c>
      <c r="F764" s="304">
        <f t="shared" ca="1" si="329"/>
        <v>8.2694354437790789</v>
      </c>
      <c r="G764" s="306">
        <f t="shared" ca="1" si="330"/>
        <v>35.181965677119138</v>
      </c>
      <c r="H764" s="307">
        <f t="shared" ca="1" si="331"/>
        <v>-88.244063647286268</v>
      </c>
      <c r="I764" s="304">
        <f t="shared" ca="1" si="332"/>
        <v>94.998870929565783</v>
      </c>
      <c r="J764" s="306">
        <f t="shared" ca="1" si="333"/>
        <v>1249.9733506326506</v>
      </c>
      <c r="K764" s="307">
        <f t="shared" ca="1" si="334"/>
        <v>1701.6826800322578</v>
      </c>
      <c r="L764" s="304">
        <f t="shared" ca="1" si="319"/>
        <v>2111.4348961816427</v>
      </c>
      <c r="M764" s="306">
        <f t="shared" ca="1" si="335"/>
        <v>-1.1914203571630566</v>
      </c>
      <c r="N764" s="304">
        <f t="shared" ca="1" si="336"/>
        <v>-68.263358091412286</v>
      </c>
      <c r="P764" s="310">
        <f t="shared" ca="1" si="337"/>
        <v>23</v>
      </c>
      <c r="Q764" s="304">
        <f t="shared" ca="1" si="338"/>
        <v>0</v>
      </c>
      <c r="R764" s="306">
        <f t="shared" ca="1" si="339"/>
        <v>0</v>
      </c>
      <c r="S764" s="307">
        <f t="shared" ca="1" si="340"/>
        <v>12.409999999999973</v>
      </c>
      <c r="T764" s="304">
        <f t="shared" ca="1" si="320"/>
        <v>121.74209999999975</v>
      </c>
      <c r="U764" s="311">
        <f t="shared" ca="1" si="321"/>
        <v>0</v>
      </c>
      <c r="V764" s="306">
        <f t="shared" ca="1" si="322"/>
        <v>1.0328894329279339</v>
      </c>
      <c r="W764" s="304">
        <f t="shared" ca="1" si="323"/>
        <v>21.28584348361824</v>
      </c>
      <c r="Y764" s="314" t="str">
        <f t="shared" ca="1" si="341"/>
        <v/>
      </c>
      <c r="Z764" s="315" t="str">
        <f t="shared" ca="1" si="342"/>
        <v/>
      </c>
      <c r="AA764" s="316" t="str">
        <f t="shared" ca="1" si="343"/>
        <v/>
      </c>
      <c r="AC764" s="310">
        <f t="shared" ca="1" si="344"/>
        <v>31.00000000000011</v>
      </c>
      <c r="AD764" s="323">
        <f t="shared" ca="1" si="345"/>
        <v>1249.9733506326506</v>
      </c>
      <c r="AE764" s="324" t="e">
        <f t="shared" ca="1" si="324"/>
        <v>#N/A</v>
      </c>
      <c r="AG764" s="306">
        <f t="shared" ca="1" si="346"/>
        <v>7.4113324626608286</v>
      </c>
      <c r="AH764" s="304">
        <f t="shared" ca="1" si="347"/>
        <v>-1.6870402661990163</v>
      </c>
    </row>
    <row r="765" spans="1:34" x14ac:dyDescent="0.25">
      <c r="A765" s="347">
        <f t="shared" ca="1" si="325"/>
        <v>0.1</v>
      </c>
      <c r="B765" s="304">
        <f t="shared" ca="1" si="326"/>
        <v>31.100000000000112</v>
      </c>
      <c r="D765" s="306">
        <f t="shared" ca="1" si="327"/>
        <v>-0.63521499243547919</v>
      </c>
      <c r="E765" s="307">
        <f t="shared" ca="1" si="328"/>
        <v>-8.2167418876870215</v>
      </c>
      <c r="F765" s="304">
        <f t="shared" ca="1" si="329"/>
        <v>8.2412587227610619</v>
      </c>
      <c r="G765" s="306">
        <f t="shared" ca="1" si="330"/>
        <v>35.118444177875588</v>
      </c>
      <c r="H765" s="307">
        <f t="shared" ca="1" si="331"/>
        <v>-89.065737836054964</v>
      </c>
      <c r="I765" s="304">
        <f t="shared" ca="1" si="332"/>
        <v>95.739285446233808</v>
      </c>
      <c r="J765" s="306">
        <f t="shared" ca="1" si="333"/>
        <v>1253.4883711254004</v>
      </c>
      <c r="K765" s="307">
        <f t="shared" ca="1" si="334"/>
        <v>1692.8171899580907</v>
      </c>
      <c r="L765" s="304">
        <f t="shared" ca="1" si="319"/>
        <v>2106.386273968812</v>
      </c>
      <c r="M765" s="306">
        <f t="shared" ca="1" si="335"/>
        <v>-1.1952150927908771</v>
      </c>
      <c r="N765" s="304">
        <f t="shared" ca="1" si="336"/>
        <v>-68.480780427254331</v>
      </c>
      <c r="P765" s="310">
        <f t="shared" ca="1" si="337"/>
        <v>23</v>
      </c>
      <c r="Q765" s="304">
        <f t="shared" ca="1" si="338"/>
        <v>0</v>
      </c>
      <c r="R765" s="306">
        <f t="shared" ca="1" si="339"/>
        <v>0</v>
      </c>
      <c r="S765" s="307">
        <f t="shared" ca="1" si="340"/>
        <v>12.409999999999973</v>
      </c>
      <c r="T765" s="304">
        <f t="shared" ca="1" si="320"/>
        <v>121.74209999999975</v>
      </c>
      <c r="U765" s="311">
        <f t="shared" ca="1" si="321"/>
        <v>0</v>
      </c>
      <c r="V765" s="306">
        <f t="shared" ca="1" si="322"/>
        <v>1.0338121944199476</v>
      </c>
      <c r="W765" s="304">
        <f t="shared" ca="1" si="323"/>
        <v>21.63825113219708</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7.3972519375513386</v>
      </c>
      <c r="AH765" s="304">
        <f t="shared" ca="1" si="347"/>
        <v>-1.7152170413874526</v>
      </c>
    </row>
    <row r="766" spans="1:34" x14ac:dyDescent="0.25">
      <c r="A766" s="347">
        <f t="shared" ca="1" si="325"/>
        <v>0.1</v>
      </c>
      <c r="B766" s="304">
        <f t="shared" ca="1" si="326"/>
        <v>31.200000000000113</v>
      </c>
      <c r="D766" s="306">
        <f t="shared" ca="1" si="327"/>
        <v>-0.63958086360337296</v>
      </c>
      <c r="E766" s="307">
        <f t="shared" ca="1" si="328"/>
        <v>-8.187925251069549</v>
      </c>
      <c r="F766" s="304">
        <f t="shared" ca="1" si="329"/>
        <v>8.2128669536398782</v>
      </c>
      <c r="G766" s="306">
        <f t="shared" ca="1" si="330"/>
        <v>35.054486091515251</v>
      </c>
      <c r="H766" s="307">
        <f t="shared" ca="1" si="331"/>
        <v>-89.884530361161922</v>
      </c>
      <c r="I766" s="304">
        <f t="shared" ca="1" si="332"/>
        <v>96.478214086843863</v>
      </c>
      <c r="J766" s="306">
        <f t="shared" ca="1" si="333"/>
        <v>1256.9970176388699</v>
      </c>
      <c r="K766" s="307">
        <f t="shared" ca="1" si="334"/>
        <v>1683.8696765482298</v>
      </c>
      <c r="L766" s="304">
        <f t="shared" ca="1" si="319"/>
        <v>2101.2992623497616</v>
      </c>
      <c r="M766" s="306">
        <f t="shared" ca="1" si="335"/>
        <v>-1.1989448953654849</v>
      </c>
      <c r="N766" s="304">
        <f t="shared" ca="1" si="336"/>
        <v>-68.694482373196379</v>
      </c>
      <c r="P766" s="310">
        <f t="shared" ca="1" si="337"/>
        <v>23</v>
      </c>
      <c r="Q766" s="304">
        <f t="shared" ca="1" si="338"/>
        <v>0</v>
      </c>
      <c r="R766" s="306">
        <f t="shared" ca="1" si="339"/>
        <v>0</v>
      </c>
      <c r="S766" s="307">
        <f t="shared" ca="1" si="340"/>
        <v>12.409999999999973</v>
      </c>
      <c r="T766" s="304">
        <f t="shared" ca="1" si="320"/>
        <v>121.74209999999975</v>
      </c>
      <c r="U766" s="311">
        <f t="shared" ca="1" si="321"/>
        <v>0</v>
      </c>
      <c r="V766" s="306">
        <f t="shared" ca="1" si="322"/>
        <v>1.0347442583320359</v>
      </c>
      <c r="W766" s="304">
        <f t="shared" ca="1" si="323"/>
        <v>21.993364866920533</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7.3825756655998385</v>
      </c>
      <c r="AH766" s="304">
        <f t="shared" ca="1" si="347"/>
        <v>-1.7436141121834912</v>
      </c>
    </row>
    <row r="767" spans="1:34" x14ac:dyDescent="0.25">
      <c r="A767" s="347">
        <f t="shared" ca="1" si="325"/>
        <v>0.1</v>
      </c>
      <c r="B767" s="304">
        <f t="shared" ca="1" si="326"/>
        <v>31.300000000000114</v>
      </c>
      <c r="D767" s="306">
        <f t="shared" ca="1" si="327"/>
        <v>-0.64392345804055773</v>
      </c>
      <c r="E767" s="307">
        <f t="shared" ca="1" si="328"/>
        <v>-8.158891566591242</v>
      </c>
      <c r="F767" s="304">
        <f t="shared" ca="1" si="329"/>
        <v>8.1842622767851605</v>
      </c>
      <c r="G767" s="306">
        <f t="shared" ca="1" si="330"/>
        <v>34.990093745711192</v>
      </c>
      <c r="H767" s="307">
        <f t="shared" ca="1" si="331"/>
        <v>-90.700419517821047</v>
      </c>
      <c r="I767" s="304">
        <f t="shared" ca="1" si="332"/>
        <v>97.215599370895148</v>
      </c>
      <c r="J767" s="306">
        <f t="shared" ca="1" si="333"/>
        <v>1260.4992466307312</v>
      </c>
      <c r="K767" s="307">
        <f t="shared" ca="1" si="334"/>
        <v>1674.8404290542805</v>
      </c>
      <c r="L767" s="304">
        <f t="shared" ca="1" si="319"/>
        <v>2096.1748051036602</v>
      </c>
      <c r="M767" s="306">
        <f t="shared" ca="1" si="335"/>
        <v>-1.2026113673533962</v>
      </c>
      <c r="N767" s="304">
        <f t="shared" ca="1" si="336"/>
        <v>-68.90455574380664</v>
      </c>
      <c r="P767" s="310">
        <f t="shared" ca="1" si="337"/>
        <v>23</v>
      </c>
      <c r="Q767" s="304">
        <f t="shared" ca="1" si="338"/>
        <v>0</v>
      </c>
      <c r="R767" s="306">
        <f t="shared" ca="1" si="339"/>
        <v>0</v>
      </c>
      <c r="S767" s="307">
        <f t="shared" ca="1" si="340"/>
        <v>12.409999999999973</v>
      </c>
      <c r="T767" s="304">
        <f t="shared" ca="1" si="320"/>
        <v>121.74209999999975</v>
      </c>
      <c r="U767" s="311">
        <f t="shared" ca="1" si="321"/>
        <v>0</v>
      </c>
      <c r="V767" s="306">
        <f t="shared" ca="1" si="322"/>
        <v>1.0356856165970847</v>
      </c>
      <c r="W767" s="304">
        <f t="shared" ca="1" si="323"/>
        <v>22.3511567241789</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7.3673184931367928</v>
      </c>
      <c r="AH767" s="304">
        <f t="shared" ca="1" si="347"/>
        <v>-1.7722292398807882</v>
      </c>
    </row>
    <row r="768" spans="1:34" x14ac:dyDescent="0.25">
      <c r="A768" s="347">
        <f t="shared" ca="1" si="325"/>
        <v>0.1</v>
      </c>
      <c r="B768" s="304">
        <f t="shared" ca="1" si="326"/>
        <v>31.400000000000116</v>
      </c>
      <c r="D768" s="306">
        <f t="shared" ca="1" si="327"/>
        <v>-0.64824230513006587</v>
      </c>
      <c r="E768" s="307">
        <f t="shared" ca="1" si="328"/>
        <v>-8.1296429980498974</v>
      </c>
      <c r="F768" s="304">
        <f t="shared" ca="1" si="329"/>
        <v>8.1554468523743111</v>
      </c>
      <c r="G768" s="306">
        <f t="shared" ca="1" si="330"/>
        <v>34.925269515198188</v>
      </c>
      <c r="H768" s="307">
        <f t="shared" ca="1" si="331"/>
        <v>-91.513383817626035</v>
      </c>
      <c r="I768" s="304">
        <f t="shared" ca="1" si="332"/>
        <v>97.951385229926032</v>
      </c>
      <c r="J768" s="306">
        <f t="shared" ca="1" si="333"/>
        <v>1263.9950147937768</v>
      </c>
      <c r="K768" s="307">
        <f t="shared" ca="1" si="334"/>
        <v>1665.7297388875081</v>
      </c>
      <c r="L768" s="304">
        <f t="shared" ca="1" si="319"/>
        <v>2091.0138594561649</v>
      </c>
      <c r="M768" s="306">
        <f t="shared" ca="1" si="335"/>
        <v>-1.2062160622665319</v>
      </c>
      <c r="N768" s="304">
        <f t="shared" ca="1" si="336"/>
        <v>-69.111089548761584</v>
      </c>
      <c r="P768" s="310">
        <f t="shared" ca="1" si="337"/>
        <v>23</v>
      </c>
      <c r="Q768" s="304">
        <f t="shared" ca="1" si="338"/>
        <v>0</v>
      </c>
      <c r="R768" s="306">
        <f t="shared" ca="1" si="339"/>
        <v>0</v>
      </c>
      <c r="S768" s="307">
        <f t="shared" ca="1" si="340"/>
        <v>12.409999999999973</v>
      </c>
      <c r="T768" s="304">
        <f t="shared" ca="1" si="320"/>
        <v>121.74209999999975</v>
      </c>
      <c r="U768" s="311">
        <f t="shared" ca="1" si="321"/>
        <v>0</v>
      </c>
      <c r="V768" s="306">
        <f t="shared" ca="1" si="322"/>
        <v>1.0366362610695083</v>
      </c>
      <c r="W768" s="304">
        <f t="shared" ca="1" si="323"/>
        <v>22.711598562166802</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7.3514947812045204</v>
      </c>
      <c r="AH768" s="304">
        <f t="shared" ca="1" si="347"/>
        <v>-1.8010601711667162</v>
      </c>
    </row>
    <row r="769" spans="1:34" x14ac:dyDescent="0.25">
      <c r="A769" s="347">
        <f t="shared" ca="1" si="325"/>
        <v>0.1</v>
      </c>
      <c r="B769" s="304">
        <f t="shared" ca="1" si="326"/>
        <v>31.500000000000117</v>
      </c>
      <c r="D769" s="306">
        <f t="shared" ca="1" si="327"/>
        <v>-0.6525369456086576</v>
      </c>
      <c r="E769" s="307">
        <f t="shared" ca="1" si="328"/>
        <v>-8.1001817283706199</v>
      </c>
      <c r="F769" s="304">
        <f t="shared" ca="1" si="329"/>
        <v>8.1264228599066595</v>
      </c>
      <c r="G769" s="306">
        <f t="shared" ca="1" si="330"/>
        <v>34.860015820637322</v>
      </c>
      <c r="H769" s="307">
        <f t="shared" ca="1" si="331"/>
        <v>-92.323401990463097</v>
      </c>
      <c r="I769" s="304">
        <f t="shared" ca="1" si="332"/>
        <v>98.68551696225606</v>
      </c>
      <c r="J769" s="306">
        <f t="shared" ca="1" si="333"/>
        <v>1267.4842790605685</v>
      </c>
      <c r="K769" s="307">
        <f t="shared" ca="1" si="334"/>
        <v>1656.5378995971037</v>
      </c>
      <c r="L769" s="304">
        <f t="shared" ca="1" si="319"/>
        <v>2085.8173962423634</v>
      </c>
      <c r="M769" s="306">
        <f t="shared" ca="1" si="335"/>
        <v>-1.2097604863617153</v>
      </c>
      <c r="N769" s="304">
        <f t="shared" ca="1" si="336"/>
        <v>-69.314170090220074</v>
      </c>
      <c r="P769" s="310">
        <f t="shared" ca="1" si="337"/>
        <v>23</v>
      </c>
      <c r="Q769" s="304">
        <f t="shared" ca="1" si="338"/>
        <v>0</v>
      </c>
      <c r="R769" s="306">
        <f t="shared" ca="1" si="339"/>
        <v>0</v>
      </c>
      <c r="S769" s="307">
        <f t="shared" ca="1" si="340"/>
        <v>12.409999999999973</v>
      </c>
      <c r="T769" s="304">
        <f t="shared" ca="1" si="320"/>
        <v>121.74209999999975</v>
      </c>
      <c r="U769" s="311">
        <f t="shared" ca="1" si="321"/>
        <v>0</v>
      </c>
      <c r="V769" s="306">
        <f t="shared" ca="1" si="322"/>
        <v>1.0375961835253267</v>
      </c>
      <c r="W769" s="304">
        <f t="shared" ca="1" si="323"/>
        <v>23.074662063989877</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7.3351184275787515</v>
      </c>
      <c r="AH769" s="304">
        <f t="shared" ca="1" si="347"/>
        <v>-1.8301046383696093</v>
      </c>
    </row>
    <row r="770" spans="1:34" x14ac:dyDescent="0.25">
      <c r="A770" s="347">
        <f t="shared" ca="1" si="325"/>
        <v>0.1</v>
      </c>
      <c r="B770" s="304">
        <f t="shared" ca="1" si="326"/>
        <v>31.600000000000119</v>
      </c>
      <c r="D770" s="306">
        <f t="shared" ca="1" si="327"/>
        <v>-0.65680693125938205</v>
      </c>
      <c r="E770" s="307">
        <f t="shared" ca="1" si="328"/>
        <v>-8.0705099591238856</v>
      </c>
      <c r="F770" s="304">
        <f t="shared" ca="1" si="329"/>
        <v>8.0971924977283436</v>
      </c>
      <c r="G770" s="306">
        <f t="shared" ca="1" si="330"/>
        <v>34.794335127511381</v>
      </c>
      <c r="H770" s="307">
        <f t="shared" ca="1" si="331"/>
        <v>-93.130452986375488</v>
      </c>
      <c r="I770" s="304">
        <f t="shared" ca="1" si="332"/>
        <v>99.41794118977252</v>
      </c>
      <c r="J770" s="306">
        <f t="shared" ca="1" si="333"/>
        <v>1270.9669966079759</v>
      </c>
      <c r="K770" s="307">
        <f t="shared" ca="1" si="334"/>
        <v>1647.2652068482616</v>
      </c>
      <c r="L770" s="304">
        <f t="shared" ca="1" si="319"/>
        <v>2080.5864000707938</v>
      </c>
      <c r="M770" s="306">
        <f t="shared" ca="1" si="335"/>
        <v>-1.213246100278504</v>
      </c>
      <c r="N770" s="304">
        <f t="shared" ca="1" si="336"/>
        <v>-69.513881056664133</v>
      </c>
      <c r="P770" s="310">
        <f t="shared" ca="1" si="337"/>
        <v>23</v>
      </c>
      <c r="Q770" s="304">
        <f t="shared" ca="1" si="338"/>
        <v>0</v>
      </c>
      <c r="R770" s="306">
        <f t="shared" ca="1" si="339"/>
        <v>0</v>
      </c>
      <c r="S770" s="307">
        <f t="shared" ca="1" si="340"/>
        <v>12.409999999999973</v>
      </c>
      <c r="T770" s="304">
        <f t="shared" ca="1" si="320"/>
        <v>121.74209999999975</v>
      </c>
      <c r="U770" s="311">
        <f t="shared" ca="1" si="321"/>
        <v>0</v>
      </c>
      <c r="V770" s="306">
        <f t="shared" ca="1" si="322"/>
        <v>1.0385653756622575</v>
      </c>
      <c r="W770" s="304">
        <f t="shared" ca="1" si="323"/>
        <v>23.440318740809651</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7.3182028877210223</v>
      </c>
      <c r="AH770" s="304">
        <f t="shared" ca="1" si="347"/>
        <v>-1.8593603597090995</v>
      </c>
    </row>
    <row r="771" spans="1:34" x14ac:dyDescent="0.25">
      <c r="A771" s="347">
        <f t="shared" ca="1" si="325"/>
        <v>0.1</v>
      </c>
      <c r="B771" s="304">
        <f t="shared" ca="1" si="326"/>
        <v>31.70000000000012</v>
      </c>
      <c r="D771" s="306">
        <f t="shared" ca="1" si="327"/>
        <v>-0.66105182461857559</v>
      </c>
      <c r="E771" s="307">
        <f t="shared" ca="1" si="328"/>
        <v>-8.0406299100533705</v>
      </c>
      <c r="F771" s="304">
        <f t="shared" ca="1" si="329"/>
        <v>8.0677579825671781</v>
      </c>
      <c r="G771" s="306">
        <f t="shared" ca="1" si="330"/>
        <v>34.72822994504952</v>
      </c>
      <c r="H771" s="307">
        <f t="shared" ca="1" si="331"/>
        <v>-93.934515977380826</v>
      </c>
      <c r="I771" s="304">
        <f t="shared" ca="1" si="332"/>
        <v>100.14860581666152</v>
      </c>
      <c r="J771" s="306">
        <f t="shared" ca="1" si="333"/>
        <v>1274.443124861604</v>
      </c>
      <c r="K771" s="307">
        <f t="shared" ca="1" si="334"/>
        <v>1637.9119584000739</v>
      </c>
      <c r="L771" s="304">
        <f t="shared" ca="1" si="319"/>
        <v>2075.3218694884358</v>
      </c>
      <c r="M771" s="306">
        <f t="shared" ca="1" si="335"/>
        <v>-1.2166743206173554</v>
      </c>
      <c r="N771" s="304">
        <f t="shared" ca="1" si="336"/>
        <v>-69.71030361332123</v>
      </c>
      <c r="P771" s="310">
        <f t="shared" ca="1" si="337"/>
        <v>23</v>
      </c>
      <c r="Q771" s="304">
        <f t="shared" ca="1" si="338"/>
        <v>0</v>
      </c>
      <c r="R771" s="306">
        <f t="shared" ca="1" si="339"/>
        <v>0</v>
      </c>
      <c r="S771" s="307">
        <f t="shared" ca="1" si="340"/>
        <v>12.409999999999973</v>
      </c>
      <c r="T771" s="304">
        <f t="shared" ca="1" si="320"/>
        <v>121.74209999999975</v>
      </c>
      <c r="U771" s="311">
        <f t="shared" ca="1" si="321"/>
        <v>0</v>
      </c>
      <c r="V771" s="306">
        <f t="shared" ca="1" si="322"/>
        <v>1.039543829099816</v>
      </c>
      <c r="W771" s="304">
        <f t="shared" ca="1" si="323"/>
        <v>23.808539935025269</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7.3007611947138855</v>
      </c>
      <c r="AH771" s="304">
        <f t="shared" ca="1" si="347"/>
        <v>-1.8888250395495327</v>
      </c>
    </row>
    <row r="772" spans="1:34" x14ac:dyDescent="0.25">
      <c r="A772" s="347">
        <f t="shared" ca="1" si="325"/>
        <v>0.1</v>
      </c>
      <c r="B772" s="304">
        <f t="shared" ca="1" si="326"/>
        <v>31.800000000000122</v>
      </c>
      <c r="D772" s="306">
        <f t="shared" ca="1" si="327"/>
        <v>-0.6652711986965657</v>
      </c>
      <c r="E772" s="307">
        <f t="shared" ca="1" si="328"/>
        <v>-8.0105438186128453</v>
      </c>
      <c r="F772" s="304">
        <f t="shared" ca="1" si="329"/>
        <v>8.0381215490767257</v>
      </c>
      <c r="G772" s="306">
        <f t="shared" ca="1" si="330"/>
        <v>34.661702825179866</v>
      </c>
      <c r="H772" s="307">
        <f t="shared" ca="1" si="331"/>
        <v>-94.735570359242104</v>
      </c>
      <c r="I772" s="304">
        <f t="shared" ca="1" si="332"/>
        <v>100.8774599899898</v>
      </c>
      <c r="J772" s="306">
        <f t="shared" ca="1" si="333"/>
        <v>1277.9126215001154</v>
      </c>
      <c r="K772" s="307">
        <f t="shared" ca="1" si="334"/>
        <v>1628.4784540832427</v>
      </c>
      <c r="L772" s="304">
        <f t="shared" ref="L772:L835" ca="1" si="348">SQRT(pos_x^2+pos_z^2)</f>
        <v>2070.0248171465591</v>
      </c>
      <c r="M772" s="306">
        <f t="shared" ca="1" si="335"/>
        <v>-1.2200465214601068</v>
      </c>
      <c r="N772" s="304">
        <f t="shared" ca="1" si="336"/>
        <v>-69.903516489281344</v>
      </c>
      <c r="P772" s="310">
        <f t="shared" ca="1" si="337"/>
        <v>23</v>
      </c>
      <c r="Q772" s="304">
        <f t="shared" ca="1" si="338"/>
        <v>0</v>
      </c>
      <c r="R772" s="306">
        <f t="shared" ca="1" si="339"/>
        <v>0</v>
      </c>
      <c r="S772" s="307">
        <f t="shared" ca="1" si="340"/>
        <v>12.409999999999973</v>
      </c>
      <c r="T772" s="304">
        <f t="shared" ref="T772:T835" ca="1" si="349">m*g</f>
        <v>121.74209999999975</v>
      </c>
      <c r="U772" s="311">
        <f t="shared" ref="U772:U835" ca="1" si="350">IF(pos_xz&lt;L_rampe,Poids*COS(Beta),0)</f>
        <v>0</v>
      </c>
      <c r="V772" s="306">
        <f t="shared" ref="V772:V835" ca="1" si="351">Rho_moyen*(20000-Alt_rampe-pos_z)/(20000+Alt_rampe+pos_z)</f>
        <v>1.040531535379424</v>
      </c>
      <c r="W772" s="304">
        <f t="shared" ref="W772:W835" ca="1" si="352">1/2*Rho*Sref*Cx*vit_xz^2</f>
        <v>24.17929682349175</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7.282805978228625</v>
      </c>
      <c r="AH772" s="304">
        <f t="shared" ca="1" si="347"/>
        <v>-1.9184963686563514</v>
      </c>
    </row>
    <row r="773" spans="1:34" x14ac:dyDescent="0.25">
      <c r="A773" s="347">
        <f t="shared" ref="A773:A836" ca="1" si="354">IF(B772+0.01&lt;=T_ini+ROUNDUP(Temps_fin_propu,0), 0.01, IF(K772&gt;0, 0.1, 0.0001))</f>
        <v>0.1</v>
      </c>
      <c r="B773" s="304">
        <f t="shared" ref="B773:B836" ca="1" si="355">B772+pas</f>
        <v>31.900000000000123</v>
      </c>
      <c r="D773" s="306">
        <f t="shared" ref="D773:D836" ca="1" si="356">IF(AND(L772&lt;L_rampe,Poussee&lt;Poids*SIN(M772)),0,(-W772+Poussee)/m*COS(M772)-U772/m*SIN(M772))</f>
        <v>-0.66946463671140655</v>
      </c>
      <c r="E773" s="307">
        <f t="shared" ref="E773:E836" ca="1" si="357">IF(AND(L772&lt;L_rampe,Poussee&lt;Poids*SIN(M772)),0,(-W772+Poussee)/m*SIN(M772)+U772/m*COS(M772)-Poids/m)</f>
        <v>-7.9802539395114449</v>
      </c>
      <c r="F773" s="304">
        <f t="shared" ref="F773:F836" ca="1" si="358">SQRT(acc_x^2+acc_z^2)</f>
        <v>8.0082854493889677</v>
      </c>
      <c r="G773" s="306">
        <f t="shared" ref="G773:G836" ca="1" si="359">G772+acc_x*pas</f>
        <v>34.594756361508722</v>
      </c>
      <c r="H773" s="307">
        <f t="shared" ref="H773:H836" ca="1" si="360">H772+acc_z*pas</f>
        <v>-95.533595753193254</v>
      </c>
      <c r="I773" s="304">
        <f t="shared" ref="I773:I836" ca="1" si="361">SQRT(vit_x^2+vit_z^2)</f>
        <v>101.60445406204735</v>
      </c>
      <c r="J773" s="306">
        <f t="shared" ref="J773:J836" ca="1" si="362">J772+0.5*(vit_x+G772)*pas*(K772&gt;=0)</f>
        <v>1281.3754444594499</v>
      </c>
      <c r="K773" s="307">
        <f t="shared" ref="K773:K836" ca="1" si="363">K772+0.5*(vit_z+H772)*pas</f>
        <v>1618.964995777621</v>
      </c>
      <c r="L773" s="304">
        <f t="shared" ca="1" si="348"/>
        <v>2064.6962699673009</v>
      </c>
      <c r="M773" s="306">
        <f t="shared" ref="M773:M836" ca="1" si="364">IF(AND(L772&gt;L_rampe,G773&gt;0),ATAN2(G773,H773),$M$4)</f>
        <v>-1.2233640358347229</v>
      </c>
      <c r="N773" s="304">
        <f t="shared" ref="N773:N836" ca="1" si="365">DEGREES(Beta)</f>
        <v>-70.093596061420826</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12.409999999999973</v>
      </c>
      <c r="T773" s="304">
        <f t="shared" ca="1" si="349"/>
        <v>121.74209999999975</v>
      </c>
      <c r="U773" s="311">
        <f t="shared" ca="1" si="350"/>
        <v>0</v>
      </c>
      <c r="V773" s="306">
        <f t="shared" ca="1" si="351"/>
        <v>1.0415284859645291</v>
      </c>
      <c r="W773" s="304">
        <f t="shared" ca="1" si="352"/>
        <v>24.552560420773688</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7.2643494825728698</v>
      </c>
      <c r="AH773" s="304">
        <f t="shared" ref="AH773:AH836" ca="1" si="376">IF(AND(L772&lt;L_rampe,Poussee&lt;Poids*SIN(M772)), g*SIN(M772), (-W772+Poussee)/m)</f>
        <v>-1.9483720244554232</v>
      </c>
    </row>
    <row r="774" spans="1:34" x14ac:dyDescent="0.25">
      <c r="A774" s="347">
        <f t="shared" ca="1" si="354"/>
        <v>0.1</v>
      </c>
      <c r="B774" s="304">
        <f t="shared" ca="1" si="355"/>
        <v>32.000000000000121</v>
      </c>
      <c r="D774" s="306">
        <f t="shared" ca="1" si="356"/>
        <v>-0.67363173183498692</v>
      </c>
      <c r="E774" s="307">
        <f t="shared" ca="1" si="357"/>
        <v>-7.9497625442666795</v>
      </c>
      <c r="F774" s="304">
        <f t="shared" ca="1" si="358"/>
        <v>7.9782519526748734</v>
      </c>
      <c r="G774" s="306">
        <f t="shared" ca="1" si="359"/>
        <v>34.52739318832522</v>
      </c>
      <c r="H774" s="307">
        <f t="shared" ca="1" si="360"/>
        <v>-96.328572007619925</v>
      </c>
      <c r="I774" s="304">
        <f t="shared" ca="1" si="361"/>
        <v>102.32953955436535</v>
      </c>
      <c r="J774" s="306">
        <f t="shared" ca="1" si="362"/>
        <v>1284.8315519369417</v>
      </c>
      <c r="K774" s="307">
        <f t="shared" ca="1" si="363"/>
        <v>1609.3718873895803</v>
      </c>
      <c r="L774" s="304">
        <f t="shared" ca="1" si="348"/>
        <v>2059.3372693108308</v>
      </c>
      <c r="M774" s="306">
        <f t="shared" ca="1" si="364"/>
        <v>-1.2266281571262223</v>
      </c>
      <c r="N774" s="304">
        <f t="shared" ca="1" si="365"/>
        <v>-70.280616435242536</v>
      </c>
      <c r="P774" s="310">
        <f t="shared" ca="1" si="366"/>
        <v>23</v>
      </c>
      <c r="Q774" s="304">
        <f t="shared" ca="1" si="367"/>
        <v>0</v>
      </c>
      <c r="R774" s="306">
        <f t="shared" ca="1" si="368"/>
        <v>0</v>
      </c>
      <c r="S774" s="307">
        <f t="shared" ca="1" si="369"/>
        <v>12.409999999999973</v>
      </c>
      <c r="T774" s="304">
        <f t="shared" ca="1" si="349"/>
        <v>121.74209999999975</v>
      </c>
      <c r="U774" s="311">
        <f t="shared" ca="1" si="350"/>
        <v>0</v>
      </c>
      <c r="V774" s="306">
        <f t="shared" ca="1" si="351"/>
        <v>1.0425346722407312</v>
      </c>
      <c r="W774" s="304">
        <f t="shared" ca="1" si="352"/>
        <v>24.928301582433747</v>
      </c>
      <c r="Y774" s="314" t="str">
        <f t="shared" ca="1" si="370"/>
        <v/>
      </c>
      <c r="Z774" s="315" t="str">
        <f t="shared" ca="1" si="371"/>
        <v/>
      </c>
      <c r="AA774" s="316" t="str">
        <f t="shared" ca="1" si="372"/>
        <v/>
      </c>
      <c r="AC774" s="310">
        <f t="shared" ca="1" si="373"/>
        <v>32.000000000000121</v>
      </c>
      <c r="AD774" s="323">
        <f t="shared" ca="1" si="374"/>
        <v>1284.8315519369417</v>
      </c>
      <c r="AE774" s="324" t="e">
        <f t="shared" ca="1" si="353"/>
        <v>#N/A</v>
      </c>
      <c r="AG774" s="306">
        <f t="shared" ca="1" si="375"/>
        <v>7.2454035838633555</v>
      </c>
      <c r="AH774" s="304">
        <f t="shared" ca="1" si="376"/>
        <v>-1.9784496712952249</v>
      </c>
    </row>
    <row r="775" spans="1:34" x14ac:dyDescent="0.25">
      <c r="A775" s="347">
        <f t="shared" ca="1" si="354"/>
        <v>0.1</v>
      </c>
      <c r="B775" s="304">
        <f t="shared" ca="1" si="355"/>
        <v>32.100000000000122</v>
      </c>
      <c r="D775" s="306">
        <f t="shared" ca="1" si="356"/>
        <v>-0.67777208695089941</v>
      </c>
      <c r="E775" s="307">
        <f t="shared" ca="1" si="357"/>
        <v>-7.9190719207646207</v>
      </c>
      <c r="F775" s="304">
        <f t="shared" ca="1" si="358"/>
        <v>7.9480233447123467</v>
      </c>
      <c r="G775" s="306">
        <f t="shared" ca="1" si="359"/>
        <v>34.459615979630129</v>
      </c>
      <c r="H775" s="307">
        <f t="shared" ca="1" si="360"/>
        <v>-97.120479199696391</v>
      </c>
      <c r="I775" s="304">
        <f t="shared" ca="1" si="361"/>
        <v>103.05266912332857</v>
      </c>
      <c r="J775" s="306">
        <f t="shared" ca="1" si="362"/>
        <v>1288.2809023953394</v>
      </c>
      <c r="K775" s="307">
        <f t="shared" ca="1" si="363"/>
        <v>1599.6994348292144</v>
      </c>
      <c r="L775" s="304">
        <f t="shared" ca="1" si="348"/>
        <v>2053.9488711429644</v>
      </c>
      <c r="M775" s="306">
        <f t="shared" ca="1" si="364"/>
        <v>-1.22984014043567</v>
      </c>
      <c r="N775" s="304">
        <f t="shared" ca="1" si="365"/>
        <v>-70.464649522740345</v>
      </c>
      <c r="P775" s="310">
        <f t="shared" ca="1" si="366"/>
        <v>23</v>
      </c>
      <c r="Q775" s="304">
        <f t="shared" ca="1" si="367"/>
        <v>0</v>
      </c>
      <c r="R775" s="306">
        <f t="shared" ca="1" si="368"/>
        <v>0</v>
      </c>
      <c r="S775" s="307">
        <f t="shared" ca="1" si="369"/>
        <v>12.409999999999973</v>
      </c>
      <c r="T775" s="304">
        <f t="shared" ca="1" si="349"/>
        <v>121.74209999999975</v>
      </c>
      <c r="U775" s="311">
        <f t="shared" ca="1" si="350"/>
        <v>0</v>
      </c>
      <c r="V775" s="306">
        <f t="shared" ca="1" si="351"/>
        <v>1.043550085515921</v>
      </c>
      <c r="W775" s="304">
        <f t="shared" ca="1" si="352"/>
        <v>25.306491008355223</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7.2259798063669329</v>
      </c>
      <c r="AH775" s="304">
        <f t="shared" ca="1" si="376"/>
        <v>-2.008726960711829</v>
      </c>
    </row>
    <row r="776" spans="1:34" x14ac:dyDescent="0.25">
      <c r="A776" s="347">
        <f t="shared" ca="1" si="354"/>
        <v>0.1</v>
      </c>
      <c r="B776" s="304">
        <f t="shared" ca="1" si="355"/>
        <v>32.200000000000124</v>
      </c>
      <c r="D776" s="306">
        <f t="shared" ca="1" si="356"/>
        <v>-0.68188531442347955</v>
      </c>
      <c r="E776" s="307">
        <f t="shared" ca="1" si="357"/>
        <v>-7.8881843728267</v>
      </c>
      <c r="F776" s="304">
        <f t="shared" ca="1" si="358"/>
        <v>7.9176019274609768</v>
      </c>
      <c r="G776" s="306">
        <f t="shared" ca="1" si="359"/>
        <v>34.391427448187784</v>
      </c>
      <c r="H776" s="307">
        <f t="shared" ca="1" si="360"/>
        <v>-97.909297636979062</v>
      </c>
      <c r="I776" s="304">
        <f t="shared" ca="1" si="361"/>
        <v>103.77379652730509</v>
      </c>
      <c r="J776" s="306">
        <f t="shared" ca="1" si="362"/>
        <v>1291.7234545667302</v>
      </c>
      <c r="K776" s="307">
        <f t="shared" ca="1" si="363"/>
        <v>1589.9479459873805</v>
      </c>
      <c r="L776" s="304">
        <f t="shared" ca="1" si="348"/>
        <v>2048.5321462030556</v>
      </c>
      <c r="M776" s="306">
        <f t="shared" ca="1" si="364"/>
        <v>-1.233001203889069</v>
      </c>
      <c r="N776" s="304">
        <f t="shared" ca="1" si="365"/>
        <v>-70.645765117393154</v>
      </c>
      <c r="P776" s="310">
        <f t="shared" ca="1" si="366"/>
        <v>23</v>
      </c>
      <c r="Q776" s="304">
        <f t="shared" ca="1" si="367"/>
        <v>0</v>
      </c>
      <c r="R776" s="306">
        <f t="shared" ca="1" si="368"/>
        <v>0</v>
      </c>
      <c r="S776" s="307">
        <f t="shared" ca="1" si="369"/>
        <v>12.409999999999973</v>
      </c>
      <c r="T776" s="304">
        <f t="shared" ca="1" si="349"/>
        <v>121.74209999999975</v>
      </c>
      <c r="U776" s="311">
        <f t="shared" ca="1" si="350"/>
        <v>0</v>
      </c>
      <c r="V776" s="306">
        <f t="shared" ca="1" si="351"/>
        <v>1.0445747170204245</v>
      </c>
      <c r="W776" s="304">
        <f t="shared" ca="1" si="352"/>
        <v>25.687099246097883</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7.2060893380508793</v>
      </c>
      <c r="AH776" s="304">
        <f t="shared" ca="1" si="376"/>
        <v>-2.0392015316966381</v>
      </c>
    </row>
    <row r="777" spans="1:34" x14ac:dyDescent="0.25">
      <c r="A777" s="347">
        <f t="shared" ca="1" si="354"/>
        <v>0.1</v>
      </c>
      <c r="B777" s="304">
        <f t="shared" ca="1" si="355"/>
        <v>32.300000000000125</v>
      </c>
      <c r="D777" s="306">
        <f t="shared" ca="1" si="356"/>
        <v>-0.68597103587745456</v>
      </c>
      <c r="E777" s="307">
        <f t="shared" ca="1" si="357"/>
        <v>-7.8571022197826341</v>
      </c>
      <c r="F777" s="304">
        <f t="shared" ca="1" si="358"/>
        <v>7.8869900186431057</v>
      </c>
      <c r="G777" s="306">
        <f t="shared" ca="1" si="359"/>
        <v>34.322830344600035</v>
      </c>
      <c r="H777" s="307">
        <f t="shared" ca="1" si="360"/>
        <v>-98.695007858957325</v>
      </c>
      <c r="I777" s="304">
        <f t="shared" ca="1" si="361"/>
        <v>104.49287659521985</v>
      </c>
      <c r="J777" s="306">
        <f t="shared" ca="1" si="362"/>
        <v>1295.1591674563697</v>
      </c>
      <c r="K777" s="307">
        <f t="shared" ca="1" si="363"/>
        <v>1580.1177307125838</v>
      </c>
      <c r="L777" s="304">
        <f t="shared" ca="1" si="348"/>
        <v>2043.0881801720066</v>
      </c>
      <c r="M777" s="306">
        <f t="shared" ca="1" si="364"/>
        <v>-1.2361125298979458</v>
      </c>
      <c r="N777" s="304">
        <f t="shared" ca="1" si="365"/>
        <v>-70.824030966391092</v>
      </c>
      <c r="P777" s="310">
        <f t="shared" ca="1" si="366"/>
        <v>23</v>
      </c>
      <c r="Q777" s="304">
        <f t="shared" ca="1" si="367"/>
        <v>0</v>
      </c>
      <c r="R777" s="306">
        <f t="shared" ca="1" si="368"/>
        <v>0</v>
      </c>
      <c r="S777" s="307">
        <f t="shared" ca="1" si="369"/>
        <v>12.409999999999973</v>
      </c>
      <c r="T777" s="304">
        <f t="shared" ca="1" si="349"/>
        <v>121.74209999999975</v>
      </c>
      <c r="U777" s="311">
        <f t="shared" ca="1" si="350"/>
        <v>0</v>
      </c>
      <c r="V777" s="306">
        <f t="shared" ca="1" si="351"/>
        <v>1.0456085579071583</v>
      </c>
      <c r="W777" s="304">
        <f t="shared" ca="1" si="352"/>
        <v>26.070096694286185</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7.1857430453816118</v>
      </c>
      <c r="AH777" s="304">
        <f t="shared" ca="1" si="376"/>
        <v>-2.0698710109667959</v>
      </c>
    </row>
    <row r="778" spans="1:34" x14ac:dyDescent="0.25">
      <c r="A778" s="347">
        <f t="shared" ca="1" si="354"/>
        <v>0.1</v>
      </c>
      <c r="B778" s="304">
        <f t="shared" ca="1" si="355"/>
        <v>32.400000000000126</v>
      </c>
      <c r="D778" s="306">
        <f t="shared" ca="1" si="356"/>
        <v>-0.69002888198767509</v>
      </c>
      <c r="E778" s="307">
        <f t="shared" ca="1" si="357"/>
        <v>-7.8258277960490057</v>
      </c>
      <c r="F778" s="304">
        <f t="shared" ca="1" si="358"/>
        <v>7.8561899513307587</v>
      </c>
      <c r="G778" s="306">
        <f t="shared" ca="1" si="359"/>
        <v>34.253827456401268</v>
      </c>
      <c r="H778" s="307">
        <f t="shared" ca="1" si="360"/>
        <v>-99.477590638562219</v>
      </c>
      <c r="I778" s="304">
        <f t="shared" ca="1" si="361"/>
        <v>105.2098651965027</v>
      </c>
      <c r="J778" s="306">
        <f t="shared" ca="1" si="362"/>
        <v>1298.5880003464197</v>
      </c>
      <c r="K778" s="307">
        <f t="shared" ca="1" si="363"/>
        <v>1570.2091007877079</v>
      </c>
      <c r="L778" s="304">
        <f t="shared" ca="1" si="348"/>
        <v>2037.618073840202</v>
      </c>
      <c r="M778" s="306">
        <f t="shared" ca="1" si="364"/>
        <v>-1.2391752663733806</v>
      </c>
      <c r="N778" s="304">
        <f t="shared" ca="1" si="365"/>
        <v>-70.999512840194271</v>
      </c>
      <c r="P778" s="310">
        <f t="shared" ca="1" si="366"/>
        <v>23</v>
      </c>
      <c r="Q778" s="304">
        <f t="shared" ca="1" si="367"/>
        <v>0</v>
      </c>
      <c r="R778" s="306">
        <f t="shared" ca="1" si="368"/>
        <v>0</v>
      </c>
      <c r="S778" s="307">
        <f t="shared" ca="1" si="369"/>
        <v>12.409999999999973</v>
      </c>
      <c r="T778" s="304">
        <f t="shared" ca="1" si="349"/>
        <v>121.74209999999975</v>
      </c>
      <c r="U778" s="311">
        <f t="shared" ca="1" si="350"/>
        <v>0</v>
      </c>
      <c r="V778" s="306">
        <f t="shared" ca="1" si="351"/>
        <v>1.046651599251794</v>
      </c>
      <c r="W778" s="304">
        <f t="shared" ca="1" si="352"/>
        <v>26.455453606029483</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7.1649514874090077</v>
      </c>
      <c r="AH778" s="304">
        <f t="shared" ca="1" si="376"/>
        <v>-2.1007330132382145</v>
      </c>
    </row>
    <row r="779" spans="1:34" x14ac:dyDescent="0.25">
      <c r="A779" s="347">
        <f t="shared" ca="1" si="354"/>
        <v>0.1</v>
      </c>
      <c r="B779" s="304">
        <f t="shared" ca="1" si="355"/>
        <v>32.500000000000128</v>
      </c>
      <c r="D779" s="306">
        <f t="shared" ca="1" si="356"/>
        <v>-0.69405849227842575</v>
      </c>
      <c r="E779" s="307">
        <f t="shared" ca="1" si="357"/>
        <v>-7.7943634507130586</v>
      </c>
      <c r="F779" s="304">
        <f t="shared" ca="1" si="358"/>
        <v>7.8252040735379786</v>
      </c>
      <c r="G779" s="306">
        <f t="shared" ca="1" si="359"/>
        <v>34.184421607173427</v>
      </c>
      <c r="H779" s="307">
        <f t="shared" ca="1" si="360"/>
        <v>-100.25702698363352</v>
      </c>
      <c r="I779" s="304">
        <f t="shared" ca="1" si="361"/>
        <v>105.92471921234441</v>
      </c>
      <c r="J779" s="306">
        <f t="shared" ca="1" si="362"/>
        <v>1302.0099127995984</v>
      </c>
      <c r="K779" s="307">
        <f t="shared" ca="1" si="363"/>
        <v>1560.2223699065983</v>
      </c>
      <c r="L779" s="304">
        <f t="shared" ca="1" si="348"/>
        <v>2032.1229432751798</v>
      </c>
      <c r="M779" s="306">
        <f t="shared" ca="1" si="364"/>
        <v>-1.2421905278951821</v>
      </c>
      <c r="N779" s="304">
        <f t="shared" ca="1" si="365"/>
        <v>-71.172274599521685</v>
      </c>
      <c r="P779" s="310">
        <f t="shared" ca="1" si="366"/>
        <v>23</v>
      </c>
      <c r="Q779" s="304">
        <f t="shared" ca="1" si="367"/>
        <v>0</v>
      </c>
      <c r="R779" s="306">
        <f t="shared" ca="1" si="368"/>
        <v>0</v>
      </c>
      <c r="S779" s="307">
        <f t="shared" ca="1" si="369"/>
        <v>12.409999999999973</v>
      </c>
      <c r="T779" s="304">
        <f t="shared" ca="1" si="349"/>
        <v>121.74209999999975</v>
      </c>
      <c r="U779" s="311">
        <f t="shared" ca="1" si="350"/>
        <v>0</v>
      </c>
      <c r="V779" s="306">
        <f t="shared" ca="1" si="351"/>
        <v>1.0477038320529288</v>
      </c>
      <c r="W779" s="304">
        <f t="shared" ca="1" si="352"/>
        <v>26.843140092372963</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7.143724929171694</v>
      </c>
      <c r="AH779" s="304">
        <f t="shared" ca="1" si="376"/>
        <v>-2.1317851415011715</v>
      </c>
    </row>
    <row r="780" spans="1:34" x14ac:dyDescent="0.25">
      <c r="A780" s="347">
        <f t="shared" ca="1" si="354"/>
        <v>0.1</v>
      </c>
      <c r="B780" s="304">
        <f t="shared" ca="1" si="355"/>
        <v>32.600000000000129</v>
      </c>
      <c r="D780" s="306">
        <f t="shared" ca="1" si="356"/>
        <v>-0.69805951493182705</v>
      </c>
      <c r="E780" s="307">
        <f t="shared" ca="1" si="357"/>
        <v>-7.762711547121329</v>
      </c>
      <c r="F780" s="304">
        <f t="shared" ca="1" si="358"/>
        <v>7.7940347478182108</v>
      </c>
      <c r="G780" s="306">
        <f t="shared" ca="1" si="359"/>
        <v>34.114615655680247</v>
      </c>
      <c r="H780" s="307">
        <f t="shared" ca="1" si="360"/>
        <v>-101.03329813834566</v>
      </c>
      <c r="I780" s="304">
        <f t="shared" ca="1" si="361"/>
        <v>106.63739650819794</v>
      </c>
      <c r="J780" s="306">
        <f t="shared" ca="1" si="362"/>
        <v>1305.4248646627411</v>
      </c>
      <c r="K780" s="307">
        <f t="shared" ca="1" si="363"/>
        <v>1550.1578536504992</v>
      </c>
      <c r="L780" s="304">
        <f t="shared" ca="1" si="348"/>
        <v>2026.6039199888216</v>
      </c>
      <c r="M780" s="306">
        <f t="shared" ca="1" si="364"/>
        <v>-1.2451593968378605</v>
      </c>
      <c r="N780" s="304">
        <f t="shared" ca="1" si="365"/>
        <v>-71.342378259864631</v>
      </c>
      <c r="P780" s="310">
        <f t="shared" ca="1" si="366"/>
        <v>23</v>
      </c>
      <c r="Q780" s="304">
        <f t="shared" ca="1" si="367"/>
        <v>0</v>
      </c>
      <c r="R780" s="306">
        <f t="shared" ca="1" si="368"/>
        <v>0</v>
      </c>
      <c r="S780" s="307">
        <f t="shared" ca="1" si="369"/>
        <v>12.409999999999973</v>
      </c>
      <c r="T780" s="304">
        <f t="shared" ca="1" si="349"/>
        <v>121.74209999999975</v>
      </c>
      <c r="U780" s="311">
        <f t="shared" ca="1" si="350"/>
        <v>0</v>
      </c>
      <c r="V780" s="306">
        <f t="shared" ca="1" si="351"/>
        <v>1.0487652472322666</v>
      </c>
      <c r="W780" s="304">
        <f t="shared" ca="1" si="352"/>
        <v>27.233126125778924</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7.1220733544570045</v>
      </c>
      <c r="AH780" s="304">
        <f t="shared" ca="1" si="376"/>
        <v>-2.1630249872983902</v>
      </c>
    </row>
    <row r="781" spans="1:34" x14ac:dyDescent="0.25">
      <c r="A781" s="347">
        <f t="shared" ca="1" si="354"/>
        <v>0.1</v>
      </c>
      <c r="B781" s="304">
        <f t="shared" ca="1" si="355"/>
        <v>32.700000000000131</v>
      </c>
      <c r="D781" s="306">
        <f t="shared" ca="1" si="356"/>
        <v>-0.70203160660487973</v>
      </c>
      <c r="E781" s="307">
        <f t="shared" ca="1" si="357"/>
        <v>-7.730874462472725</v>
      </c>
      <c r="F781" s="304">
        <f t="shared" ca="1" si="358"/>
        <v>7.7626843508663406</v>
      </c>
      <c r="G781" s="306">
        <f t="shared" ca="1" si="359"/>
        <v>34.044412495019756</v>
      </c>
      <c r="H781" s="307">
        <f t="shared" ca="1" si="360"/>
        <v>-101.80638558459293</v>
      </c>
      <c r="I781" s="304">
        <f t="shared" ca="1" si="361"/>
        <v>107.347855907465</v>
      </c>
      <c r="J781" s="306">
        <f t="shared" ca="1" si="362"/>
        <v>1308.8328160702761</v>
      </c>
      <c r="K781" s="307">
        <f t="shared" ca="1" si="363"/>
        <v>1540.0158694643524</v>
      </c>
      <c r="L781" s="304">
        <f t="shared" ca="1" si="348"/>
        <v>2021.0621511038432</v>
      </c>
      <c r="M781" s="306">
        <f t="shared" ca="1" si="364"/>
        <v>-1.2480829244550007</v>
      </c>
      <c r="N781" s="304">
        <f t="shared" ca="1" si="365"/>
        <v>-71.509884053616702</v>
      </c>
      <c r="P781" s="310">
        <f t="shared" ca="1" si="366"/>
        <v>23</v>
      </c>
      <c r="Q781" s="304">
        <f t="shared" ca="1" si="367"/>
        <v>0</v>
      </c>
      <c r="R781" s="306">
        <f t="shared" ca="1" si="368"/>
        <v>0</v>
      </c>
      <c r="S781" s="307">
        <f t="shared" ca="1" si="369"/>
        <v>12.409999999999973</v>
      </c>
      <c r="T781" s="304">
        <f t="shared" ca="1" si="349"/>
        <v>121.74209999999975</v>
      </c>
      <c r="U781" s="311">
        <f t="shared" ca="1" si="350"/>
        <v>0</v>
      </c>
      <c r="V781" s="306">
        <f t="shared" ca="1" si="351"/>
        <v>1.0498358356348096</v>
      </c>
      <c r="W781" s="304">
        <f t="shared" ca="1" si="352"/>
        <v>27.625381543637555</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7.1000064779475274</v>
      </c>
      <c r="AH781" s="304">
        <f t="shared" ca="1" si="376"/>
        <v>-2.1944501310055586</v>
      </c>
    </row>
    <row r="782" spans="1:34" x14ac:dyDescent="0.25">
      <c r="A782" s="347">
        <f t="shared" ca="1" si="354"/>
        <v>0.1</v>
      </c>
      <c r="B782" s="304">
        <f t="shared" ca="1" si="355"/>
        <v>32.800000000000132</v>
      </c>
      <c r="D782" s="306">
        <f t="shared" ca="1" si="356"/>
        <v>-0.70597443225472101</v>
      </c>
      <c r="E782" s="307">
        <f t="shared" ca="1" si="357"/>
        <v>-7.6988545874157115</v>
      </c>
      <c r="F782" s="304">
        <f t="shared" ca="1" si="358"/>
        <v>7.7311552731250535</v>
      </c>
      <c r="G782" s="306">
        <f t="shared" ca="1" si="359"/>
        <v>33.973815051794283</v>
      </c>
      <c r="H782" s="307">
        <f t="shared" ca="1" si="360"/>
        <v>-102.5762710433345</v>
      </c>
      <c r="I782" s="304">
        <f t="shared" ca="1" si="361"/>
        <v>108.05605716631135</v>
      </c>
      <c r="J782" s="306">
        <f t="shared" ca="1" si="362"/>
        <v>1312.2337274476167</v>
      </c>
      <c r="K782" s="307">
        <f t="shared" ca="1" si="363"/>
        <v>1529.796736632956</v>
      </c>
      <c r="L782" s="304">
        <f t="shared" ca="1" si="348"/>
        <v>2015.4987995193419</v>
      </c>
      <c r="M782" s="306">
        <f t="shared" ca="1" si="364"/>
        <v>-1.2509621319235944</v>
      </c>
      <c r="N782" s="304">
        <f t="shared" ca="1" si="365"/>
        <v>-71.674850489909673</v>
      </c>
      <c r="P782" s="310">
        <f t="shared" ca="1" si="366"/>
        <v>23</v>
      </c>
      <c r="Q782" s="304">
        <f t="shared" ca="1" si="367"/>
        <v>0</v>
      </c>
      <c r="R782" s="306">
        <f t="shared" ca="1" si="368"/>
        <v>0</v>
      </c>
      <c r="S782" s="307">
        <f t="shared" ca="1" si="369"/>
        <v>12.409999999999973</v>
      </c>
      <c r="T782" s="304">
        <f t="shared" ca="1" si="349"/>
        <v>121.74209999999975</v>
      </c>
      <c r="U782" s="311">
        <f t="shared" ca="1" si="350"/>
        <v>0</v>
      </c>
      <c r="V782" s="306">
        <f t="shared" ca="1" si="351"/>
        <v>1.0509155880290539</v>
      </c>
      <c r="W782" s="304">
        <f t="shared" ca="1" si="352"/>
        <v>28.019876051806353</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7.077533756784657</v>
      </c>
      <c r="AH782" s="304">
        <f t="shared" ca="1" si="376"/>
        <v>-2.2260581421142316</v>
      </c>
    </row>
    <row r="783" spans="1:34" x14ac:dyDescent="0.25">
      <c r="A783" s="347">
        <f t="shared" ca="1" si="354"/>
        <v>0.1</v>
      </c>
      <c r="B783" s="304">
        <f t="shared" ca="1" si="355"/>
        <v>32.900000000000134</v>
      </c>
      <c r="D783" s="306">
        <f t="shared" ca="1" si="356"/>
        <v>-0.70988766497167022</v>
      </c>
      <c r="E783" s="307">
        <f t="shared" ca="1" si="357"/>
        <v>-7.6666543256493025</v>
      </c>
      <c r="F783" s="304">
        <f t="shared" ca="1" si="358"/>
        <v>7.6994499183952154</v>
      </c>
      <c r="G783" s="306">
        <f t="shared" ca="1" si="359"/>
        <v>33.902826285297117</v>
      </c>
      <c r="H783" s="307">
        <f t="shared" ca="1" si="360"/>
        <v>-103.34293647589944</v>
      </c>
      <c r="I783" s="304">
        <f t="shared" ca="1" si="361"/>
        <v>108.76196094955635</v>
      </c>
      <c r="J783" s="306">
        <f t="shared" ca="1" si="362"/>
        <v>1315.6275595144714</v>
      </c>
      <c r="K783" s="307">
        <f t="shared" ca="1" si="363"/>
        <v>1519.5007762569944</v>
      </c>
      <c r="L783" s="304">
        <f t="shared" ca="1" si="348"/>
        <v>2009.91504407515</v>
      </c>
      <c r="M783" s="306">
        <f t="shared" ca="1" si="364"/>
        <v>-1.2537980113498322</v>
      </c>
      <c r="N783" s="304">
        <f t="shared" ca="1" si="365"/>
        <v>-71.837334412241077</v>
      </c>
      <c r="P783" s="310">
        <f t="shared" ca="1" si="366"/>
        <v>23</v>
      </c>
      <c r="Q783" s="304">
        <f t="shared" ca="1" si="367"/>
        <v>0</v>
      </c>
      <c r="R783" s="306">
        <f t="shared" ca="1" si="368"/>
        <v>0</v>
      </c>
      <c r="S783" s="307">
        <f t="shared" ca="1" si="369"/>
        <v>12.409999999999973</v>
      </c>
      <c r="T783" s="304">
        <f t="shared" ca="1" si="349"/>
        <v>121.74209999999975</v>
      </c>
      <c r="U783" s="311">
        <f t="shared" ca="1" si="350"/>
        <v>0</v>
      </c>
      <c r="V783" s="306">
        <f t="shared" ca="1" si="351"/>
        <v>1.0520044951071974</v>
      </c>
      <c r="W783" s="304">
        <f t="shared" ca="1" si="352"/>
        <v>28.416579228177493</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7.0546644015780391</v>
      </c>
      <c r="AH783" s="304">
        <f t="shared" ca="1" si="376"/>
        <v>-2.2578465795170355</v>
      </c>
    </row>
    <row r="784" spans="1:34" x14ac:dyDescent="0.25">
      <c r="A784" s="347">
        <f t="shared" ca="1" si="354"/>
        <v>0.1</v>
      </c>
      <c r="B784" s="304">
        <f t="shared" ca="1" si="355"/>
        <v>33.000000000000135</v>
      </c>
      <c r="D784" s="306">
        <f t="shared" ca="1" si="356"/>
        <v>-0.71377098581968346</v>
      </c>
      <c r="E784" s="307">
        <f t="shared" ca="1" si="357"/>
        <v>-7.6342760935275464</v>
      </c>
      <c r="F784" s="304">
        <f t="shared" ca="1" si="358"/>
        <v>7.6675707034499672</v>
      </c>
      <c r="G784" s="306">
        <f t="shared" ca="1" si="359"/>
        <v>33.831449186715147</v>
      </c>
      <c r="H784" s="307">
        <f t="shared" ca="1" si="360"/>
        <v>-104.1063640852522</v>
      </c>
      <c r="I784" s="304">
        <f t="shared" ca="1" si="361"/>
        <v>109.46552880758571</v>
      </c>
      <c r="J784" s="306">
        <f t="shared" ca="1" si="362"/>
        <v>1319.014273288072</v>
      </c>
      <c r="K784" s="307">
        <f t="shared" ca="1" si="363"/>
        <v>1509.1283112289368</v>
      </c>
      <c r="L784" s="304">
        <f t="shared" ca="1" si="348"/>
        <v>2004.3120797147244</v>
      </c>
      <c r="M784" s="306">
        <f t="shared" ca="1" si="364"/>
        <v>-1.2565915267378143</v>
      </c>
      <c r="N784" s="304">
        <f t="shared" ca="1" si="365"/>
        <v>-71.997391053977296</v>
      </c>
      <c r="P784" s="310">
        <f t="shared" ca="1" si="366"/>
        <v>23</v>
      </c>
      <c r="Q784" s="304">
        <f t="shared" ca="1" si="367"/>
        <v>0</v>
      </c>
      <c r="R784" s="306">
        <f t="shared" ca="1" si="368"/>
        <v>0</v>
      </c>
      <c r="S784" s="307">
        <f t="shared" ca="1" si="369"/>
        <v>12.409999999999973</v>
      </c>
      <c r="T784" s="304">
        <f t="shared" ca="1" si="349"/>
        <v>121.74209999999975</v>
      </c>
      <c r="U784" s="311">
        <f t="shared" ca="1" si="350"/>
        <v>0</v>
      </c>
      <c r="V784" s="306">
        <f t="shared" ca="1" si="351"/>
        <v>1.0531025474853544</v>
      </c>
      <c r="W784" s="304">
        <f t="shared" ca="1" si="352"/>
        <v>28.815460526272297</v>
      </c>
      <c r="Y784" s="314" t="str">
        <f t="shared" ca="1" si="370"/>
        <v/>
      </c>
      <c r="Z784" s="315" t="str">
        <f t="shared" ca="1" si="371"/>
        <v/>
      </c>
      <c r="AA784" s="316" t="str">
        <f t="shared" ca="1" si="372"/>
        <v/>
      </c>
      <c r="AC784" s="310">
        <f t="shared" ca="1" si="373"/>
        <v>33.000000000000135</v>
      </c>
      <c r="AD784" s="323">
        <f t="shared" ca="1" si="374"/>
        <v>1319.014273288072</v>
      </c>
      <c r="AE784" s="324" t="e">
        <f t="shared" ca="1" si="353"/>
        <v>#N/A</v>
      </c>
      <c r="AG784" s="306">
        <f t="shared" ca="1" si="375"/>
        <v>7.0314073868882794</v>
      </c>
      <c r="AH784" s="304">
        <f t="shared" ca="1" si="376"/>
        <v>-2.2898129917951291</v>
      </c>
    </row>
    <row r="785" spans="1:34" x14ac:dyDescent="0.25">
      <c r="A785" s="347">
        <f t="shared" ca="1" si="354"/>
        <v>0.1</v>
      </c>
      <c r="B785" s="304">
        <f t="shared" ca="1" si="355"/>
        <v>33.100000000000136</v>
      </c>
      <c r="D785" s="306">
        <f t="shared" ca="1" si="356"/>
        <v>-0.71762408368383412</v>
      </c>
      <c r="E785" s="307">
        <f t="shared" ca="1" si="357"/>
        <v>-7.6017223196672479</v>
      </c>
      <c r="F785" s="304">
        <f t="shared" ca="1" si="358"/>
        <v>7.635520057652279</v>
      </c>
      <c r="G785" s="306">
        <f t="shared" ca="1" si="359"/>
        <v>33.759686778346762</v>
      </c>
      <c r="H785" s="307">
        <f t="shared" ca="1" si="360"/>
        <v>-104.86653631721892</v>
      </c>
      <c r="I785" s="304">
        <f t="shared" ca="1" si="361"/>
        <v>110.16672315423871</v>
      </c>
      <c r="J785" s="306">
        <f t="shared" ca="1" si="362"/>
        <v>1322.3938300863251</v>
      </c>
      <c r="K785" s="307">
        <f t="shared" ca="1" si="363"/>
        <v>1498.6796662088132</v>
      </c>
      <c r="L785" s="304">
        <f t="shared" ca="1" si="348"/>
        <v>1998.6911176462811</v>
      </c>
      <c r="M785" s="306">
        <f t="shared" ca="1" si="364"/>
        <v>-1.2593436149225865</v>
      </c>
      <c r="N785" s="304">
        <f t="shared" ca="1" si="365"/>
        <v>-72.155074091812565</v>
      </c>
      <c r="P785" s="310">
        <f t="shared" ca="1" si="366"/>
        <v>23</v>
      </c>
      <c r="Q785" s="304">
        <f t="shared" ca="1" si="367"/>
        <v>0</v>
      </c>
      <c r="R785" s="306">
        <f t="shared" ca="1" si="368"/>
        <v>0</v>
      </c>
      <c r="S785" s="307">
        <f t="shared" ca="1" si="369"/>
        <v>12.409999999999973</v>
      </c>
      <c r="T785" s="304">
        <f t="shared" ca="1" si="349"/>
        <v>121.74209999999975</v>
      </c>
      <c r="U785" s="311">
        <f t="shared" ca="1" si="350"/>
        <v>0</v>
      </c>
      <c r="V785" s="306">
        <f t="shared" ca="1" si="351"/>
        <v>1.0542097357037792</v>
      </c>
      <c r="W785" s="304">
        <f t="shared" ca="1" si="352"/>
        <v>29.216489278862223</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7.0077714612090265</v>
      </c>
      <c r="AH785" s="304">
        <f t="shared" ca="1" si="376"/>
        <v>-2.3219549175078451</v>
      </c>
    </row>
    <row r="786" spans="1:34" x14ac:dyDescent="0.25">
      <c r="A786" s="347">
        <f t="shared" ca="1" si="354"/>
        <v>0.1</v>
      </c>
      <c r="B786" s="304">
        <f t="shared" ca="1" si="355"/>
        <v>33.200000000000138</v>
      </c>
      <c r="D786" s="306">
        <f t="shared" ca="1" si="356"/>
        <v>-0.72144665512447925</v>
      </c>
      <c r="E786" s="307">
        <f t="shared" ca="1" si="357"/>
        <v>-7.5689954445586771</v>
      </c>
      <c r="F786" s="304">
        <f t="shared" ca="1" si="358"/>
        <v>7.6033004225757326</v>
      </c>
      <c r="G786" s="306">
        <f t="shared" ca="1" si="359"/>
        <v>33.687542112834315</v>
      </c>
      <c r="H786" s="307">
        <f t="shared" ca="1" si="360"/>
        <v>-105.62343586167478</v>
      </c>
      <c r="I786" s="304">
        <f t="shared" ca="1" si="361"/>
        <v>110.86550724562312</v>
      </c>
      <c r="J786" s="306">
        <f t="shared" ca="1" si="362"/>
        <v>1325.7661915308843</v>
      </c>
      <c r="K786" s="307">
        <f t="shared" ca="1" si="363"/>
        <v>1488.1551675998685</v>
      </c>
      <c r="L786" s="304">
        <f t="shared" ca="1" si="348"/>
        <v>1993.0533855018782</v>
      </c>
      <c r="M786" s="306">
        <f t="shared" ca="1" si="364"/>
        <v>-1.2620551864688605</v>
      </c>
      <c r="N786" s="304">
        <f t="shared" ca="1" si="365"/>
        <v>-72.310435697261823</v>
      </c>
      <c r="P786" s="310">
        <f t="shared" ca="1" si="366"/>
        <v>23</v>
      </c>
      <c r="Q786" s="304">
        <f t="shared" ca="1" si="367"/>
        <v>0</v>
      </c>
      <c r="R786" s="306">
        <f t="shared" ca="1" si="368"/>
        <v>0</v>
      </c>
      <c r="S786" s="307">
        <f t="shared" ca="1" si="369"/>
        <v>12.409999999999973</v>
      </c>
      <c r="T786" s="304">
        <f t="shared" ca="1" si="349"/>
        <v>121.74209999999975</v>
      </c>
      <c r="U786" s="311">
        <f t="shared" ca="1" si="350"/>
        <v>0</v>
      </c>
      <c r="V786" s="306">
        <f t="shared" ca="1" si="351"/>
        <v>1.0553260502270976</v>
      </c>
      <c r="W786" s="304">
        <f t="shared" ca="1" si="352"/>
        <v>29.619634701615329</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6.9837651564730825</v>
      </c>
      <c r="AH786" s="304">
        <f t="shared" ca="1" si="376"/>
        <v>-2.354269885484471</v>
      </c>
    </row>
    <row r="787" spans="1:34" x14ac:dyDescent="0.25">
      <c r="A787" s="347">
        <f t="shared" ca="1" si="354"/>
        <v>0.1</v>
      </c>
      <c r="B787" s="304">
        <f t="shared" ca="1" si="355"/>
        <v>33.300000000000139</v>
      </c>
      <c r="D787" s="306">
        <f t="shared" ca="1" si="356"/>
        <v>-0.72523840423776154</v>
      </c>
      <c r="E787" s="307">
        <f t="shared" ca="1" si="357"/>
        <v>-7.5360979201790261</v>
      </c>
      <c r="F787" s="304">
        <f t="shared" ca="1" si="358"/>
        <v>7.570914251628265</v>
      </c>
      <c r="G787" s="306">
        <f t="shared" ca="1" si="359"/>
        <v>33.615018272410538</v>
      </c>
      <c r="H787" s="307">
        <f t="shared" ca="1" si="360"/>
        <v>-106.37704565369268</v>
      </c>
      <c r="I787" s="304">
        <f t="shared" ca="1" si="361"/>
        <v>111.56184515981398</v>
      </c>
      <c r="J787" s="306">
        <f t="shared" ca="1" si="362"/>
        <v>1329.1313195501466</v>
      </c>
      <c r="K787" s="307">
        <f t="shared" ca="1" si="363"/>
        <v>1477.5551435241</v>
      </c>
      <c r="L787" s="304">
        <f t="shared" ca="1" si="348"/>
        <v>1987.4001274941184</v>
      </c>
      <c r="M787" s="306">
        <f t="shared" ca="1" si="364"/>
        <v>-1.2647271265367312</v>
      </c>
      <c r="N787" s="304">
        <f t="shared" ca="1" si="365"/>
        <v>-72.463526586262716</v>
      </c>
      <c r="P787" s="310">
        <f t="shared" ca="1" si="366"/>
        <v>23</v>
      </c>
      <c r="Q787" s="304">
        <f t="shared" ca="1" si="367"/>
        <v>0</v>
      </c>
      <c r="R787" s="306">
        <f t="shared" ca="1" si="368"/>
        <v>0</v>
      </c>
      <c r="S787" s="307">
        <f t="shared" ca="1" si="369"/>
        <v>12.409999999999973</v>
      </c>
      <c r="T787" s="304">
        <f t="shared" ca="1" si="349"/>
        <v>121.74209999999975</v>
      </c>
      <c r="U787" s="311">
        <f t="shared" ca="1" si="350"/>
        <v>0</v>
      </c>
      <c r="V787" s="306">
        <f t="shared" ca="1" si="351"/>
        <v>1.0564514814445467</v>
      </c>
      <c r="W787" s="304">
        <f t="shared" ca="1" si="352"/>
        <v>30.024865896767608</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6.959396797106038</v>
      </c>
      <c r="AH787" s="304">
        <f t="shared" ca="1" si="376"/>
        <v>-2.3867554151180816</v>
      </c>
    </row>
    <row r="788" spans="1:34" x14ac:dyDescent="0.25">
      <c r="A788" s="347">
        <f t="shared" ca="1" si="354"/>
        <v>0.1</v>
      </c>
      <c r="B788" s="304">
        <f t="shared" ca="1" si="355"/>
        <v>33.400000000000141</v>
      </c>
      <c r="D788" s="306">
        <f t="shared" ca="1" si="356"/>
        <v>-0.72899904252213399</v>
      </c>
      <c r="E788" s="307">
        <f t="shared" ca="1" si="357"/>
        <v>-7.5030322096084276</v>
      </c>
      <c r="F788" s="304">
        <f t="shared" ca="1" si="358"/>
        <v>7.5383640096787392</v>
      </c>
      <c r="G788" s="306">
        <f t="shared" ca="1" si="359"/>
        <v>33.542118368158327</v>
      </c>
      <c r="H788" s="307">
        <f t="shared" ca="1" si="360"/>
        <v>-107.12734887465352</v>
      </c>
      <c r="I788" s="304">
        <f t="shared" ca="1" si="361"/>
        <v>112.25570177739424</v>
      </c>
      <c r="J788" s="306">
        <f t="shared" ca="1" si="362"/>
        <v>1332.4891763821749</v>
      </c>
      <c r="K788" s="307">
        <f t="shared" ca="1" si="363"/>
        <v>1466.8799237976827</v>
      </c>
      <c r="L788" s="304">
        <f t="shared" ca="1" si="348"/>
        <v>1981.7326045701379</v>
      </c>
      <c r="M788" s="306">
        <f t="shared" ca="1" si="364"/>
        <v>-1.2673602957156564</v>
      </c>
      <c r="N788" s="304">
        <f t="shared" ca="1" si="365"/>
        <v>-72.61439606695906</v>
      </c>
      <c r="P788" s="310">
        <f t="shared" ca="1" si="366"/>
        <v>23</v>
      </c>
      <c r="Q788" s="304">
        <f t="shared" ca="1" si="367"/>
        <v>0</v>
      </c>
      <c r="R788" s="306">
        <f t="shared" ca="1" si="368"/>
        <v>0</v>
      </c>
      <c r="S788" s="307">
        <f t="shared" ca="1" si="369"/>
        <v>12.409999999999973</v>
      </c>
      <c r="T788" s="304">
        <f t="shared" ca="1" si="349"/>
        <v>121.74209999999975</v>
      </c>
      <c r="U788" s="311">
        <f t="shared" ca="1" si="350"/>
        <v>0</v>
      </c>
      <c r="V788" s="306">
        <f t="shared" ca="1" si="351"/>
        <v>1.0575860196702245</v>
      </c>
      <c r="W788" s="304">
        <f t="shared" ca="1" si="352"/>
        <v>30.432151856818372</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6.934674508649735</v>
      </c>
      <c r="AH788" s="304">
        <f t="shared" ca="1" si="376"/>
        <v>-2.4194090166613758</v>
      </c>
    </row>
    <row r="789" spans="1:34" x14ac:dyDescent="0.25">
      <c r="A789" s="347">
        <f t="shared" ca="1" si="354"/>
        <v>0.1</v>
      </c>
      <c r="B789" s="304">
        <f t="shared" ca="1" si="355"/>
        <v>33.500000000000142</v>
      </c>
      <c r="D789" s="306">
        <f t="shared" ca="1" si="356"/>
        <v>-0.7327282887506017</v>
      </c>
      <c r="E789" s="307">
        <f t="shared" ca="1" si="357"/>
        <v>-7.4698007866483049</v>
      </c>
      <c r="F789" s="304">
        <f t="shared" ca="1" si="358"/>
        <v>7.5056521726860632</v>
      </c>
      <c r="G789" s="306">
        <f t="shared" ca="1" si="359"/>
        <v>33.468845539283265</v>
      </c>
      <c r="H789" s="307">
        <f t="shared" ca="1" si="360"/>
        <v>-107.87432895331835</v>
      </c>
      <c r="I789" s="304">
        <f t="shared" ca="1" si="361"/>
        <v>112.94704276279721</v>
      </c>
      <c r="J789" s="306">
        <f t="shared" ca="1" si="362"/>
        <v>1335.839724577547</v>
      </c>
      <c r="K789" s="307">
        <f t="shared" ca="1" si="363"/>
        <v>1456.1298399062841</v>
      </c>
      <c r="L789" s="304">
        <f t="shared" ca="1" si="348"/>
        <v>1976.0520945625187</v>
      </c>
      <c r="M789" s="306">
        <f t="shared" ca="1" si="364"/>
        <v>-1.2699555308279171</v>
      </c>
      <c r="N789" s="304">
        <f t="shared" ca="1" si="365"/>
        <v>-72.763092085735764</v>
      </c>
      <c r="P789" s="310">
        <f t="shared" ca="1" si="366"/>
        <v>23</v>
      </c>
      <c r="Q789" s="304">
        <f t="shared" ca="1" si="367"/>
        <v>0</v>
      </c>
      <c r="R789" s="306">
        <f t="shared" ca="1" si="368"/>
        <v>0</v>
      </c>
      <c r="S789" s="307">
        <f t="shared" ca="1" si="369"/>
        <v>12.409999999999973</v>
      </c>
      <c r="T789" s="304">
        <f t="shared" ca="1" si="349"/>
        <v>121.74209999999975</v>
      </c>
      <c r="U789" s="311">
        <f t="shared" ca="1" si="350"/>
        <v>0</v>
      </c>
      <c r="V789" s="306">
        <f t="shared" ca="1" si="351"/>
        <v>1.0587296551433447</v>
      </c>
      <c r="W789" s="304">
        <f t="shared" ca="1" si="352"/>
        <v>30.84146146824887</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6.9096062259766686</v>
      </c>
      <c r="AH789" s="304">
        <f t="shared" ca="1" si="376"/>
        <v>-2.4522281915244508</v>
      </c>
    </row>
    <row r="790" spans="1:34" x14ac:dyDescent="0.25">
      <c r="A790" s="347">
        <f t="shared" ca="1" si="354"/>
        <v>0.1</v>
      </c>
      <c r="B790" s="304">
        <f t="shared" ca="1" si="355"/>
        <v>33.600000000000144</v>
      </c>
      <c r="D790" s="306">
        <f t="shared" ca="1" si="356"/>
        <v>-0.73642586884839412</v>
      </c>
      <c r="E790" s="307">
        <f t="shared" ca="1" si="357"/>
        <v>-7.4364061354419171</v>
      </c>
      <c r="F790" s="304">
        <f t="shared" ca="1" si="358"/>
        <v>7.4727812273307794</v>
      </c>
      <c r="G790" s="306">
        <f t="shared" ca="1" si="359"/>
        <v>33.395202952398428</v>
      </c>
      <c r="H790" s="307">
        <f t="shared" ca="1" si="360"/>
        <v>-108.61796956686254</v>
      </c>
      <c r="I790" s="304">
        <f t="shared" ca="1" si="361"/>
        <v>113.63583454641304</v>
      </c>
      <c r="J790" s="306">
        <f t="shared" ca="1" si="362"/>
        <v>1339.182927002131</v>
      </c>
      <c r="K790" s="307">
        <f t="shared" ca="1" si="363"/>
        <v>1445.3052249802752</v>
      </c>
      <c r="L790" s="304">
        <f t="shared" ca="1" si="348"/>
        <v>1970.3598923367474</v>
      </c>
      <c r="M790" s="306">
        <f t="shared" ca="1" si="364"/>
        <v>-1.2725136457027355</v>
      </c>
      <c r="N790" s="304">
        <f t="shared" ca="1" si="365"/>
        <v>-72.909661271572489</v>
      </c>
      <c r="P790" s="310">
        <f t="shared" ca="1" si="366"/>
        <v>23</v>
      </c>
      <c r="Q790" s="304">
        <f t="shared" ca="1" si="367"/>
        <v>0</v>
      </c>
      <c r="R790" s="306">
        <f t="shared" ca="1" si="368"/>
        <v>0</v>
      </c>
      <c r="S790" s="307">
        <f t="shared" ca="1" si="369"/>
        <v>12.409999999999973</v>
      </c>
      <c r="T790" s="304">
        <f t="shared" ca="1" si="349"/>
        <v>121.74209999999975</v>
      </c>
      <c r="U790" s="311">
        <f t="shared" ca="1" si="350"/>
        <v>0</v>
      </c>
      <c r="V790" s="306">
        <f t="shared" ca="1" si="351"/>
        <v>1.0598823780285025</v>
      </c>
      <c r="W790" s="304">
        <f t="shared" ca="1" si="352"/>
        <v>31.252763515263229</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6.884199701115401</v>
      </c>
      <c r="AH790" s="304">
        <f t="shared" ca="1" si="376"/>
        <v>-2.4852104325744508</v>
      </c>
    </row>
    <row r="791" spans="1:34" x14ac:dyDescent="0.25">
      <c r="A791" s="347">
        <f t="shared" ca="1" si="354"/>
        <v>0.1</v>
      </c>
      <c r="B791" s="304">
        <f t="shared" ca="1" si="355"/>
        <v>33.700000000000145</v>
      </c>
      <c r="D791" s="306">
        <f t="shared" ca="1" si="356"/>
        <v>-0.74009151577578347</v>
      </c>
      <c r="E791" s="307">
        <f t="shared" ca="1" si="357"/>
        <v>-7.4028507500969152</v>
      </c>
      <c r="F791" s="304">
        <f t="shared" ca="1" si="358"/>
        <v>7.4397536706488987</v>
      </c>
      <c r="G791" s="306">
        <f t="shared" ca="1" si="359"/>
        <v>33.321193800820851</v>
      </c>
      <c r="H791" s="307">
        <f t="shared" ca="1" si="360"/>
        <v>-109.35825464187224</v>
      </c>
      <c r="I791" s="304">
        <f t="shared" ca="1" si="361"/>
        <v>114.3220443074232</v>
      </c>
      <c r="J791" s="306">
        <f t="shared" ca="1" si="362"/>
        <v>1342.5187468397919</v>
      </c>
      <c r="K791" s="307">
        <f t="shared" ca="1" si="363"/>
        <v>1434.4064137698385</v>
      </c>
      <c r="L791" s="304">
        <f t="shared" ca="1" si="348"/>
        <v>1964.6573099348229</v>
      </c>
      <c r="M791" s="306">
        <f t="shared" ca="1" si="364"/>
        <v>-1.2750354319221828</v>
      </c>
      <c r="N791" s="304">
        <f t="shared" ca="1" si="365"/>
        <v>-73.054148978781072</v>
      </c>
      <c r="P791" s="310">
        <f t="shared" ca="1" si="366"/>
        <v>23</v>
      </c>
      <c r="Q791" s="304">
        <f t="shared" ca="1" si="367"/>
        <v>0</v>
      </c>
      <c r="R791" s="306">
        <f t="shared" ca="1" si="368"/>
        <v>0</v>
      </c>
      <c r="S791" s="307">
        <f t="shared" ca="1" si="369"/>
        <v>12.409999999999973</v>
      </c>
      <c r="T791" s="304">
        <f t="shared" ca="1" si="349"/>
        <v>121.74209999999975</v>
      </c>
      <c r="U791" s="311">
        <f t="shared" ca="1" si="350"/>
        <v>0</v>
      </c>
      <c r="V791" s="306">
        <f t="shared" ca="1" si="351"/>
        <v>1.0610441784159486</v>
      </c>
      <c r="W791" s="304">
        <f t="shared" ca="1" si="352"/>
        <v>31.666026683551333</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6.8584625107060724</v>
      </c>
      <c r="AH791" s="304">
        <f t="shared" ca="1" si="376"/>
        <v>-2.5183532244370102</v>
      </c>
    </row>
    <row r="792" spans="1:34" x14ac:dyDescent="0.25">
      <c r="A792" s="347">
        <f t="shared" ca="1" si="354"/>
        <v>0.1</v>
      </c>
      <c r="B792" s="304">
        <f t="shared" ca="1" si="355"/>
        <v>33.800000000000146</v>
      </c>
      <c r="D792" s="306">
        <f t="shared" ca="1" si="356"/>
        <v>-0.74372496941580224</v>
      </c>
      <c r="E792" s="307">
        <f t="shared" ca="1" si="357"/>
        <v>-7.3691371343097458</v>
      </c>
      <c r="F792" s="304">
        <f t="shared" ca="1" si="358"/>
        <v>7.4065720096678591</v>
      </c>
      <c r="G792" s="306">
        <f t="shared" ca="1" si="359"/>
        <v>33.246821303879273</v>
      </c>
      <c r="H792" s="307">
        <f t="shared" ca="1" si="360"/>
        <v>-110.09516835530322</v>
      </c>
      <c r="I792" s="304">
        <f t="shared" ca="1" si="361"/>
        <v>115.00563995732834</v>
      </c>
      <c r="J792" s="306">
        <f t="shared" ca="1" si="362"/>
        <v>1345.8471475950269</v>
      </c>
      <c r="K792" s="307">
        <f t="shared" ca="1" si="363"/>
        <v>1423.4337426199797</v>
      </c>
      <c r="L792" s="304">
        <f t="shared" ca="1" si="348"/>
        <v>1958.9456767145925</v>
      </c>
      <c r="M792" s="306">
        <f t="shared" ca="1" si="364"/>
        <v>-1.2775216595399641</v>
      </c>
      <c r="N792" s="304">
        <f t="shared" ca="1" si="365"/>
        <v>-73.19659932818881</v>
      </c>
      <c r="P792" s="310">
        <f t="shared" ca="1" si="366"/>
        <v>23</v>
      </c>
      <c r="Q792" s="304">
        <f t="shared" ca="1" si="367"/>
        <v>0</v>
      </c>
      <c r="R792" s="306">
        <f t="shared" ca="1" si="368"/>
        <v>0</v>
      </c>
      <c r="S792" s="307">
        <f t="shared" ca="1" si="369"/>
        <v>12.409999999999973</v>
      </c>
      <c r="T792" s="304">
        <f t="shared" ca="1" si="349"/>
        <v>121.74209999999975</v>
      </c>
      <c r="U792" s="311">
        <f t="shared" ca="1" si="350"/>
        <v>0</v>
      </c>
      <c r="V792" s="306">
        <f t="shared" ca="1" si="351"/>
        <v>1.0622150463218671</v>
      </c>
      <c r="W792" s="304">
        <f t="shared" ca="1" si="352"/>
        <v>32.081219564072093</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6.8324020631040288</v>
      </c>
      <c r="AH792" s="304">
        <f t="shared" ca="1" si="376"/>
        <v>-2.5516540437994681</v>
      </c>
    </row>
    <row r="793" spans="1:34" x14ac:dyDescent="0.25">
      <c r="A793" s="347">
        <f t="shared" ca="1" si="354"/>
        <v>0.1</v>
      </c>
      <c r="B793" s="304">
        <f t="shared" ca="1" si="355"/>
        <v>33.900000000000148</v>
      </c>
      <c r="D793" s="306">
        <f t="shared" ca="1" si="356"/>
        <v>-0.74732597646659282</v>
      </c>
      <c r="E793" s="307">
        <f t="shared" ca="1" si="357"/>
        <v>-7.3352678009918275</v>
      </c>
      <c r="F793" s="304">
        <f t="shared" ca="1" si="358"/>
        <v>7.3732387610445134</v>
      </c>
      <c r="G793" s="306">
        <f t="shared" ca="1" si="359"/>
        <v>33.172088706232614</v>
      </c>
      <c r="H793" s="307">
        <f t="shared" ca="1" si="360"/>
        <v>-110.8286951354024</v>
      </c>
      <c r="I793" s="304">
        <f t="shared" ca="1" si="361"/>
        <v>115.68659012413725</v>
      </c>
      <c r="J793" s="306">
        <f t="shared" ca="1" si="362"/>
        <v>1349.1680930955324</v>
      </c>
      <c r="K793" s="307">
        <f t="shared" ca="1" si="363"/>
        <v>1412.3875494454444</v>
      </c>
      <c r="L793" s="304">
        <f t="shared" ca="1" si="348"/>
        <v>1953.2263394843781</v>
      </c>
      <c r="M793" s="306">
        <f t="shared" ca="1" si="364"/>
        <v>-1.2799730777741312</v>
      </c>
      <c r="N793" s="304">
        <f t="shared" ca="1" si="365"/>
        <v>-73.337055246827987</v>
      </c>
      <c r="P793" s="310">
        <f t="shared" ca="1" si="366"/>
        <v>23</v>
      </c>
      <c r="Q793" s="304">
        <f t="shared" ca="1" si="367"/>
        <v>0</v>
      </c>
      <c r="R793" s="306">
        <f t="shared" ca="1" si="368"/>
        <v>0</v>
      </c>
      <c r="S793" s="307">
        <f t="shared" ca="1" si="369"/>
        <v>12.409999999999973</v>
      </c>
      <c r="T793" s="304">
        <f t="shared" ca="1" si="349"/>
        <v>121.74209999999975</v>
      </c>
      <c r="U793" s="311">
        <f t="shared" ca="1" si="350"/>
        <v>0</v>
      </c>
      <c r="V793" s="306">
        <f t="shared" ca="1" si="351"/>
        <v>1.0633949716886684</v>
      </c>
      <c r="W793" s="304">
        <f t="shared" ca="1" si="352"/>
        <v>32.498310656857122</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6.8060256051487791</v>
      </c>
      <c r="AH793" s="304">
        <f t="shared" ca="1" si="376"/>
        <v>-2.5851103597157263</v>
      </c>
    </row>
    <row r="794" spans="1:34" x14ac:dyDescent="0.25">
      <c r="A794" s="347">
        <f t="shared" ca="1" si="354"/>
        <v>0.1</v>
      </c>
      <c r="B794" s="304">
        <f t="shared" ca="1" si="355"/>
        <v>34.000000000000149</v>
      </c>
      <c r="D794" s="306">
        <f t="shared" ca="1" si="356"/>
        <v>-0.7508942903381689</v>
      </c>
      <c r="E794" s="307">
        <f t="shared" ca="1" si="357"/>
        <v>-7.3012452718973009</v>
      </c>
      <c r="F794" s="304">
        <f t="shared" ca="1" si="358"/>
        <v>7.3397564507049653</v>
      </c>
      <c r="G794" s="306">
        <f t="shared" ca="1" si="359"/>
        <v>33.096999277198798</v>
      </c>
      <c r="H794" s="307">
        <f t="shared" ca="1" si="360"/>
        <v>-111.55881966259213</v>
      </c>
      <c r="I794" s="304">
        <f t="shared" ca="1" si="361"/>
        <v>116.36486413718555</v>
      </c>
      <c r="J794" s="306">
        <f t="shared" ca="1" si="362"/>
        <v>1352.481547494704</v>
      </c>
      <c r="K794" s="307">
        <f t="shared" ca="1" si="363"/>
        <v>1401.2681737055448</v>
      </c>
      <c r="L794" s="304">
        <f t="shared" ca="1" si="348"/>
        <v>1947.5006626324271</v>
      </c>
      <c r="M794" s="306">
        <f t="shared" ca="1" si="364"/>
        <v>-1.2823904156747317</v>
      </c>
      <c r="N794" s="304">
        <f t="shared" ca="1" si="365"/>
        <v>-73.475558506189415</v>
      </c>
      <c r="P794" s="310">
        <f t="shared" ca="1" si="366"/>
        <v>23</v>
      </c>
      <c r="Q794" s="304">
        <f t="shared" ca="1" si="367"/>
        <v>0</v>
      </c>
      <c r="R794" s="306">
        <f t="shared" ca="1" si="368"/>
        <v>0</v>
      </c>
      <c r="S794" s="307">
        <f t="shared" ca="1" si="369"/>
        <v>12.409999999999973</v>
      </c>
      <c r="T794" s="304">
        <f t="shared" ca="1" si="349"/>
        <v>121.74209999999975</v>
      </c>
      <c r="U794" s="311">
        <f t="shared" ca="1" si="350"/>
        <v>0</v>
      </c>
      <c r="V794" s="306">
        <f t="shared" ca="1" si="351"/>
        <v>1.0645839443852847</v>
      </c>
      <c r="W794" s="304">
        <f t="shared" ca="1" si="352"/>
        <v>32.917268374833355</v>
      </c>
      <c r="Y794" s="314" t="str">
        <f t="shared" ca="1" si="370"/>
        <v/>
      </c>
      <c r="Z794" s="315" t="str">
        <f t="shared" ca="1" si="371"/>
        <v/>
      </c>
      <c r="AA794" s="316" t="str">
        <f t="shared" ca="1" si="372"/>
        <v/>
      </c>
      <c r="AC794" s="310">
        <f t="shared" ca="1" si="373"/>
        <v>34.000000000000149</v>
      </c>
      <c r="AD794" s="323">
        <f t="shared" ca="1" si="374"/>
        <v>1352.481547494704</v>
      </c>
      <c r="AE794" s="324" t="e">
        <f t="shared" ca="1" si="353"/>
        <v>#N/A</v>
      </c>
      <c r="AG794" s="306">
        <f t="shared" ca="1" si="375"/>
        <v>6.7793402286145188</v>
      </c>
      <c r="AH794" s="304">
        <f t="shared" ca="1" si="376"/>
        <v>-2.6187196339127472</v>
      </c>
    </row>
    <row r="795" spans="1:34" x14ac:dyDescent="0.25">
      <c r="A795" s="347">
        <f t="shared" ca="1" si="354"/>
        <v>0.1</v>
      </c>
      <c r="B795" s="304">
        <f t="shared" ca="1" si="355"/>
        <v>34.100000000000151</v>
      </c>
      <c r="D795" s="306">
        <f t="shared" ca="1" si="356"/>
        <v>-0.75442967105334924</v>
      </c>
      <c r="E795" s="307">
        <f t="shared" ca="1" si="357"/>
        <v>-7.2670720772522994</v>
      </c>
      <c r="F795" s="304">
        <f t="shared" ca="1" si="358"/>
        <v>7.3061276134862112</v>
      </c>
      <c r="G795" s="306">
        <f t="shared" ca="1" si="359"/>
        <v>33.021556310093466</v>
      </c>
      <c r="H795" s="307">
        <f t="shared" ca="1" si="360"/>
        <v>-112.28552687031736</v>
      </c>
      <c r="I795" s="304">
        <f t="shared" ca="1" si="361"/>
        <v>117.04043201255467</v>
      </c>
      <c r="J795" s="306">
        <f t="shared" ca="1" si="362"/>
        <v>1355.7874752740686</v>
      </c>
      <c r="K795" s="307">
        <f t="shared" ca="1" si="363"/>
        <v>1390.0759563788993</v>
      </c>
      <c r="L795" s="304">
        <f t="shared" ca="1" si="348"/>
        <v>1941.7700282507051</v>
      </c>
      <c r="M795" s="306">
        <f t="shared" ca="1" si="364"/>
        <v>-1.2847743827673617</v>
      </c>
      <c r="N795" s="304">
        <f t="shared" ca="1" si="365"/>
        <v>-73.612149759095189</v>
      </c>
      <c r="P795" s="310">
        <f t="shared" ca="1" si="366"/>
        <v>23</v>
      </c>
      <c r="Q795" s="304">
        <f t="shared" ca="1" si="367"/>
        <v>0</v>
      </c>
      <c r="R795" s="306">
        <f t="shared" ca="1" si="368"/>
        <v>0</v>
      </c>
      <c r="S795" s="307">
        <f t="shared" ca="1" si="369"/>
        <v>12.409999999999973</v>
      </c>
      <c r="T795" s="304">
        <f t="shared" ca="1" si="349"/>
        <v>121.74209999999975</v>
      </c>
      <c r="U795" s="311">
        <f t="shared" ca="1" si="350"/>
        <v>0</v>
      </c>
      <c r="V795" s="306">
        <f t="shared" ca="1" si="351"/>
        <v>1.065781954207476</v>
      </c>
      <c r="W795" s="304">
        <f t="shared" ca="1" si="352"/>
        <v>33.338061047664077</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6.752352876357703</v>
      </c>
      <c r="AH795" s="304">
        <f t="shared" ca="1" si="376"/>
        <v>-2.6524793210985838</v>
      </c>
    </row>
    <row r="796" spans="1:34" x14ac:dyDescent="0.25">
      <c r="A796" s="347">
        <f t="shared" ca="1" si="354"/>
        <v>0.1</v>
      </c>
      <c r="B796" s="304">
        <f t="shared" ca="1" si="355"/>
        <v>34.200000000000152</v>
      </c>
      <c r="D796" s="306">
        <f t="shared" ca="1" si="356"/>
        <v>-0.75793188515266074</v>
      </c>
      <c r="E796" s="307">
        <f t="shared" ca="1" si="357"/>
        <v>-7.2327507553856272</v>
      </c>
      <c r="F796" s="304">
        <f t="shared" ca="1" si="358"/>
        <v>7.2723547927794625</v>
      </c>
      <c r="G796" s="306">
        <f t="shared" ca="1" si="359"/>
        <v>32.945763121578203</v>
      </c>
      <c r="H796" s="307">
        <f t="shared" ca="1" si="360"/>
        <v>-113.00880194585592</v>
      </c>
      <c r="I796" s="304">
        <f t="shared" ca="1" si="361"/>
        <v>117.71326443906324</v>
      </c>
      <c r="J796" s="306">
        <f t="shared" ca="1" si="362"/>
        <v>1359.0858412456521</v>
      </c>
      <c r="K796" s="307">
        <f t="shared" ca="1" si="363"/>
        <v>1378.8112399380907</v>
      </c>
      <c r="L796" s="304">
        <f t="shared" ca="1" si="348"/>
        <v>1936.0358362525258</v>
      </c>
      <c r="M796" s="306">
        <f t="shared" ca="1" si="364"/>
        <v>-1.2871256696735596</v>
      </c>
      <c r="N796" s="304">
        <f t="shared" ca="1" si="365"/>
        <v>-73.746868575244704</v>
      </c>
      <c r="P796" s="310">
        <f t="shared" ca="1" si="366"/>
        <v>23</v>
      </c>
      <c r="Q796" s="304">
        <f t="shared" ca="1" si="367"/>
        <v>0</v>
      </c>
      <c r="R796" s="306">
        <f t="shared" ca="1" si="368"/>
        <v>0</v>
      </c>
      <c r="S796" s="307">
        <f t="shared" ca="1" si="369"/>
        <v>12.409999999999973</v>
      </c>
      <c r="T796" s="304">
        <f t="shared" ca="1" si="349"/>
        <v>121.74209999999975</v>
      </c>
      <c r="U796" s="311">
        <f t="shared" ca="1" si="350"/>
        <v>0</v>
      </c>
      <c r="V796" s="306">
        <f t="shared" ca="1" si="351"/>
        <v>1.0669889908781427</v>
      </c>
      <c r="W796" s="304">
        <f t="shared" ca="1" si="352"/>
        <v>33.760656925607549</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6.7250703481763132</v>
      </c>
      <c r="AH796" s="304">
        <f t="shared" ca="1" si="376"/>
        <v>-2.6863868692718893</v>
      </c>
    </row>
    <row r="797" spans="1:34" x14ac:dyDescent="0.25">
      <c r="A797" s="347">
        <f t="shared" ca="1" si="354"/>
        <v>0.1</v>
      </c>
      <c r="B797" s="304">
        <f t="shared" ca="1" si="355"/>
        <v>34.300000000000153</v>
      </c>
      <c r="D797" s="306">
        <f t="shared" ca="1" si="356"/>
        <v>-0.76140070560299467</v>
      </c>
      <c r="E797" s="307">
        <f t="shared" ca="1" si="357"/>
        <v>-7.198283852360742</v>
      </c>
      <c r="F797" s="304">
        <f t="shared" ca="1" si="358"/>
        <v>7.2384405401750831</v>
      </c>
      <c r="G797" s="306">
        <f t="shared" ca="1" si="359"/>
        <v>32.869623051017903</v>
      </c>
      <c r="H797" s="307">
        <f t="shared" ca="1" si="360"/>
        <v>-113.72863033109199</v>
      </c>
      <c r="I797" s="304">
        <f t="shared" ca="1" si="361"/>
        <v>118.38333276480344</v>
      </c>
      <c r="J797" s="306">
        <f t="shared" ca="1" si="362"/>
        <v>1362.3766105542818</v>
      </c>
      <c r="K797" s="307">
        <f t="shared" ca="1" si="363"/>
        <v>1367.4743683242432</v>
      </c>
      <c r="L797" s="304">
        <f t="shared" ca="1" si="348"/>
        <v>1930.2995044834781</v>
      </c>
      <c r="M797" s="306">
        <f t="shared" ca="1" si="364"/>
        <v>-1.2894449487089308</v>
      </c>
      <c r="N797" s="304">
        <f t="shared" ca="1" si="365"/>
        <v>-73.879753475484648</v>
      </c>
      <c r="P797" s="310">
        <f t="shared" ca="1" si="366"/>
        <v>23</v>
      </c>
      <c r="Q797" s="304">
        <f t="shared" ca="1" si="367"/>
        <v>0</v>
      </c>
      <c r="R797" s="306">
        <f t="shared" ca="1" si="368"/>
        <v>0</v>
      </c>
      <c r="S797" s="307">
        <f t="shared" ca="1" si="369"/>
        <v>12.409999999999973</v>
      </c>
      <c r="T797" s="304">
        <f t="shared" ca="1" si="349"/>
        <v>121.74209999999975</v>
      </c>
      <c r="U797" s="311">
        <f t="shared" ca="1" si="350"/>
        <v>0</v>
      </c>
      <c r="V797" s="306">
        <f t="shared" ca="1" si="351"/>
        <v>1.0682050440476489</v>
      </c>
      <c r="W797" s="304">
        <f t="shared" ca="1" si="352"/>
        <v>34.185024183392166</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6.6974993063947608</v>
      </c>
      <c r="AH797" s="304">
        <f t="shared" ca="1" si="376"/>
        <v>-2.7204397200328461</v>
      </c>
    </row>
    <row r="798" spans="1:34" x14ac:dyDescent="0.25">
      <c r="A798" s="347">
        <f t="shared" ca="1" si="354"/>
        <v>0.1</v>
      </c>
      <c r="B798" s="304">
        <f t="shared" ca="1" si="355"/>
        <v>34.400000000000155</v>
      </c>
      <c r="D798" s="306">
        <f t="shared" ca="1" si="356"/>
        <v>-0.76483591170983267</v>
      </c>
      <c r="E798" s="307">
        <f t="shared" ca="1" si="357"/>
        <v>-7.1636739216089822</v>
      </c>
      <c r="F798" s="304">
        <f t="shared" ca="1" si="358"/>
        <v>7.2043874151090472</v>
      </c>
      <c r="G798" s="306">
        <f t="shared" ca="1" si="359"/>
        <v>32.79313945984692</v>
      </c>
      <c r="H798" s="307">
        <f t="shared" ca="1" si="360"/>
        <v>-114.4449977232529</v>
      </c>
      <c r="I798" s="304">
        <f t="shared" ca="1" si="361"/>
        <v>119.05060898419768</v>
      </c>
      <c r="J798" s="306">
        <f t="shared" ca="1" si="362"/>
        <v>1365.659748679825</v>
      </c>
      <c r="K798" s="307">
        <f t="shared" ca="1" si="363"/>
        <v>1356.0656869215259</v>
      </c>
      <c r="L798" s="304">
        <f t="shared" ca="1" si="348"/>
        <v>1924.5624688251075</v>
      </c>
      <c r="M798" s="306">
        <f t="shared" ca="1" si="364"/>
        <v>-1.2917328744598715</v>
      </c>
      <c r="N798" s="304">
        <f t="shared" ca="1" si="365"/>
        <v>-74.010841964852844</v>
      </c>
      <c r="P798" s="310">
        <f t="shared" ca="1" si="366"/>
        <v>23</v>
      </c>
      <c r="Q798" s="304">
        <f t="shared" ca="1" si="367"/>
        <v>0</v>
      </c>
      <c r="R798" s="306">
        <f t="shared" ca="1" si="368"/>
        <v>0</v>
      </c>
      <c r="S798" s="307">
        <f t="shared" ca="1" si="369"/>
        <v>12.409999999999973</v>
      </c>
      <c r="T798" s="304">
        <f t="shared" ca="1" si="349"/>
        <v>121.74209999999975</v>
      </c>
      <c r="U798" s="311">
        <f t="shared" ca="1" si="350"/>
        <v>0</v>
      </c>
      <c r="V798" s="306">
        <f t="shared" ca="1" si="351"/>
        <v>1.0694301032941496</v>
      </c>
      <c r="W798" s="304">
        <f t="shared" ca="1" si="352"/>
        <v>34.611130924107542</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6.6696462811876218</v>
      </c>
      <c r="AH798" s="304">
        <f t="shared" ca="1" si="376"/>
        <v>-2.7546353088954261</v>
      </c>
    </row>
    <row r="799" spans="1:34" x14ac:dyDescent="0.25">
      <c r="A799" s="347">
        <f t="shared" ca="1" si="354"/>
        <v>0.1</v>
      </c>
      <c r="B799" s="304">
        <f t="shared" ca="1" si="355"/>
        <v>34.500000000000156</v>
      </c>
      <c r="D799" s="306">
        <f t="shared" ca="1" si="356"/>
        <v>-0.76823728903284572</v>
      </c>
      <c r="E799" s="307">
        <f t="shared" ca="1" si="357"/>
        <v>-7.1289235235639623</v>
      </c>
      <c r="F799" s="304">
        <f t="shared" ca="1" si="358"/>
        <v>7.1701979845108985</v>
      </c>
      <c r="G799" s="306">
        <f t="shared" ca="1" si="359"/>
        <v>32.716315730943634</v>
      </c>
      <c r="H799" s="307">
        <f t="shared" ca="1" si="360"/>
        <v>-115.15789007560929</v>
      </c>
      <c r="I799" s="304">
        <f t="shared" ca="1" si="361"/>
        <v>119.7150657255506</v>
      </c>
      <c r="J799" s="306">
        <f t="shared" ca="1" si="362"/>
        <v>1368.9352214393646</v>
      </c>
      <c r="K799" s="307">
        <f t="shared" ca="1" si="363"/>
        <v>1344.5855425315829</v>
      </c>
      <c r="L799" s="304">
        <f t="shared" ca="1" si="348"/>
        <v>1918.8261832907619</v>
      </c>
      <c r="M799" s="306">
        <f t="shared" ca="1" si="364"/>
        <v>-1.2939900843397121</v>
      </c>
      <c r="N799" s="304">
        <f t="shared" ca="1" si="365"/>
        <v>-74.14017056444294</v>
      </c>
      <c r="P799" s="310">
        <f t="shared" ca="1" si="366"/>
        <v>23</v>
      </c>
      <c r="Q799" s="304">
        <f t="shared" ca="1" si="367"/>
        <v>0</v>
      </c>
      <c r="R799" s="306">
        <f t="shared" ca="1" si="368"/>
        <v>0</v>
      </c>
      <c r="S799" s="307">
        <f t="shared" ca="1" si="369"/>
        <v>12.409999999999973</v>
      </c>
      <c r="T799" s="304">
        <f t="shared" ca="1" si="349"/>
        <v>121.74209999999975</v>
      </c>
      <c r="U799" s="311">
        <f t="shared" ca="1" si="350"/>
        <v>0</v>
      </c>
      <c r="V799" s="306">
        <f t="shared" ca="1" si="351"/>
        <v>1.0706641581239313</v>
      </c>
      <c r="W799" s="304">
        <f t="shared" ca="1" si="352"/>
        <v>35.038945183110599</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6.6415176756547645</v>
      </c>
      <c r="AH799" s="304">
        <f t="shared" ca="1" si="376"/>
        <v>-2.7889710656009359</v>
      </c>
    </row>
    <row r="800" spans="1:34" x14ac:dyDescent="0.25">
      <c r="A800" s="347">
        <f t="shared" ca="1" si="354"/>
        <v>0.1</v>
      </c>
      <c r="B800" s="304">
        <f t="shared" ca="1" si="355"/>
        <v>34.600000000000158</v>
      </c>
      <c r="D800" s="306">
        <f t="shared" ca="1" si="356"/>
        <v>-0.7716046293047043</v>
      </c>
      <c r="E800" s="307">
        <f t="shared" ca="1" si="357"/>
        <v>-7.0940352252970671</v>
      </c>
      <c r="F800" s="304">
        <f t="shared" ca="1" si="358"/>
        <v>7.1358748224530997</v>
      </c>
      <c r="G800" s="306">
        <f t="shared" ca="1" si="359"/>
        <v>32.639155268013162</v>
      </c>
      <c r="H800" s="307">
        <f t="shared" ca="1" si="360"/>
        <v>-115.867293598139</v>
      </c>
      <c r="I800" s="304">
        <f t="shared" ca="1" si="361"/>
        <v>120.37667623907387</v>
      </c>
      <c r="J800" s="306">
        <f t="shared" ca="1" si="362"/>
        <v>1372.2029949893124</v>
      </c>
      <c r="K800" s="307">
        <f t="shared" ca="1" si="363"/>
        <v>1333.0342833478956</v>
      </c>
      <c r="L800" s="304">
        <f t="shared" ca="1" si="348"/>
        <v>1913.0921201130061</v>
      </c>
      <c r="M800" s="306">
        <f t="shared" ca="1" si="364"/>
        <v>-1.2962171991250815</v>
      </c>
      <c r="N800" s="304">
        <f t="shared" ca="1" si="365"/>
        <v>-74.267774842135793</v>
      </c>
      <c r="P800" s="310">
        <f t="shared" ca="1" si="366"/>
        <v>23</v>
      </c>
      <c r="Q800" s="304">
        <f t="shared" ca="1" si="367"/>
        <v>0</v>
      </c>
      <c r="R800" s="306">
        <f t="shared" ca="1" si="368"/>
        <v>0</v>
      </c>
      <c r="S800" s="307">
        <f t="shared" ca="1" si="369"/>
        <v>12.409999999999973</v>
      </c>
      <c r="T800" s="304">
        <f t="shared" ca="1" si="349"/>
        <v>121.74209999999975</v>
      </c>
      <c r="U800" s="311">
        <f t="shared" ca="1" si="350"/>
        <v>0</v>
      </c>
      <c r="V800" s="306">
        <f t="shared" ca="1" si="351"/>
        <v>1.0719071979717549</v>
      </c>
      <c r="W800" s="304">
        <f t="shared" ca="1" si="352"/>
        <v>35.468434931945666</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6.6131197706597433</v>
      </c>
      <c r="AH800" s="304">
        <f t="shared" ca="1" si="376"/>
        <v>-2.8234444144327697</v>
      </c>
    </row>
    <row r="801" spans="1:34" x14ac:dyDescent="0.25">
      <c r="A801" s="347">
        <f t="shared" ca="1" si="354"/>
        <v>0.1</v>
      </c>
      <c r="B801" s="304">
        <f t="shared" ca="1" si="355"/>
        <v>34.700000000000159</v>
      </c>
      <c r="D801" s="306">
        <f t="shared" ca="1" si="356"/>
        <v>-0.77493773035291269</v>
      </c>
      <c r="E801" s="307">
        <f t="shared" ca="1" si="357"/>
        <v>-7.0590116001540091</v>
      </c>
      <c r="F801" s="304">
        <f t="shared" ca="1" si="358"/>
        <v>7.1014205098017804</v>
      </c>
      <c r="G801" s="306">
        <f t="shared" ca="1" si="359"/>
        <v>32.561661494977869</v>
      </c>
      <c r="H801" s="307">
        <f t="shared" ca="1" si="360"/>
        <v>-116.5731947581544</v>
      </c>
      <c r="I801" s="304">
        <f t="shared" ca="1" si="361"/>
        <v>121.03541438536129</v>
      </c>
      <c r="J801" s="306">
        <f t="shared" ca="1" si="362"/>
        <v>1375.4630358274619</v>
      </c>
      <c r="K801" s="307">
        <f t="shared" ca="1" si="363"/>
        <v>1321.412258930081</v>
      </c>
      <c r="L801" s="304">
        <f t="shared" ca="1" si="348"/>
        <v>1907.3617698219698</v>
      </c>
      <c r="M801" s="306">
        <f t="shared" ca="1" si="364"/>
        <v>-1.2984148234732504</v>
      </c>
      <c r="N801" s="304">
        <f t="shared" ca="1" si="365"/>
        <v>-74.393689442241069</v>
      </c>
      <c r="P801" s="310">
        <f t="shared" ca="1" si="366"/>
        <v>23</v>
      </c>
      <c r="Q801" s="304">
        <f t="shared" ca="1" si="367"/>
        <v>0</v>
      </c>
      <c r="R801" s="306">
        <f t="shared" ca="1" si="368"/>
        <v>0</v>
      </c>
      <c r="S801" s="307">
        <f t="shared" ca="1" si="369"/>
        <v>12.409999999999973</v>
      </c>
      <c r="T801" s="304">
        <f t="shared" ca="1" si="349"/>
        <v>121.74209999999975</v>
      </c>
      <c r="U801" s="311">
        <f t="shared" ca="1" si="350"/>
        <v>0</v>
      </c>
      <c r="V801" s="306">
        <f t="shared" ca="1" si="351"/>
        <v>1.073159212201211</v>
      </c>
      <c r="W801" s="304">
        <f t="shared" ca="1" si="352"/>
        <v>35.899568082277895</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6.5844587294428294</v>
      </c>
      <c r="AH801" s="304">
        <f t="shared" ca="1" si="376"/>
        <v>-2.8580527745322919</v>
      </c>
    </row>
    <row r="802" spans="1:34" x14ac:dyDescent="0.25">
      <c r="A802" s="347">
        <f t="shared" ca="1" si="354"/>
        <v>0.1</v>
      </c>
      <c r="B802" s="304">
        <f t="shared" ca="1" si="355"/>
        <v>34.800000000000161</v>
      </c>
      <c r="D802" s="306">
        <f t="shared" ca="1" si="356"/>
        <v>-0.77823639602452477</v>
      </c>
      <c r="E802" s="307">
        <f t="shared" ca="1" si="357"/>
        <v>-7.0238552273923904</v>
      </c>
      <c r="F802" s="304">
        <f t="shared" ca="1" si="358"/>
        <v>7.0668376338688192</v>
      </c>
      <c r="G802" s="306">
        <f t="shared" ca="1" si="359"/>
        <v>32.48383785537542</v>
      </c>
      <c r="H802" s="307">
        <f t="shared" ca="1" si="360"/>
        <v>-117.27558028089364</v>
      </c>
      <c r="I802" s="304">
        <f t="shared" ca="1" si="361"/>
        <v>121.69125462429356</v>
      </c>
      <c r="J802" s="306">
        <f t="shared" ca="1" si="362"/>
        <v>1378.7153107949796</v>
      </c>
      <c r="K802" s="307">
        <f t="shared" ca="1" si="363"/>
        <v>1309.7198201781287</v>
      </c>
      <c r="L802" s="304">
        <f t="shared" ca="1" si="348"/>
        <v>1901.6366413139831</v>
      </c>
      <c r="M802" s="306">
        <f t="shared" ca="1" si="364"/>
        <v>-1.3005835464211908</v>
      </c>
      <c r="N802" s="304">
        <f t="shared" ca="1" si="365"/>
        <v>-74.517948114091212</v>
      </c>
      <c r="P802" s="310">
        <f t="shared" ca="1" si="366"/>
        <v>23</v>
      </c>
      <c r="Q802" s="304">
        <f t="shared" ca="1" si="367"/>
        <v>0</v>
      </c>
      <c r="R802" s="306">
        <f t="shared" ca="1" si="368"/>
        <v>0</v>
      </c>
      <c r="S802" s="307">
        <f t="shared" ca="1" si="369"/>
        <v>12.409999999999973</v>
      </c>
      <c r="T802" s="304">
        <f t="shared" ca="1" si="349"/>
        <v>121.74209999999975</v>
      </c>
      <c r="U802" s="311">
        <f t="shared" ca="1" si="350"/>
        <v>0</v>
      </c>
      <c r="V802" s="306">
        <f t="shared" ca="1" si="351"/>
        <v>1.0744201901050807</v>
      </c>
      <c r="W802" s="304">
        <f t="shared" ca="1" si="352"/>
        <v>36.332312489838991</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6.5555406020193434</v>
      </c>
      <c r="AH802" s="304">
        <f t="shared" ca="1" si="376"/>
        <v>-2.8927935602157913</v>
      </c>
    </row>
    <row r="803" spans="1:34" x14ac:dyDescent="0.25">
      <c r="A803" s="347">
        <f t="shared" ca="1" si="354"/>
        <v>0.1</v>
      </c>
      <c r="B803" s="304">
        <f t="shared" ca="1" si="355"/>
        <v>34.900000000000162</v>
      </c>
      <c r="D803" s="306">
        <f t="shared" ca="1" si="356"/>
        <v>-0.78150043611357689</v>
      </c>
      <c r="E803" s="307">
        <f t="shared" ca="1" si="357"/>
        <v>-6.9885686918202374</v>
      </c>
      <c r="F803" s="304">
        <f t="shared" ca="1" si="358"/>
        <v>7.0321287880652283</v>
      </c>
      <c r="G803" s="306">
        <f t="shared" ca="1" si="359"/>
        <v>32.405687811764061</v>
      </c>
      <c r="H803" s="307">
        <f t="shared" ca="1" si="360"/>
        <v>-117.97443715007566</v>
      </c>
      <c r="I803" s="304">
        <f t="shared" ca="1" si="361"/>
        <v>122.3441720043528</v>
      </c>
      <c r="J803" s="306">
        <f t="shared" ca="1" si="362"/>
        <v>1381.9597870783366</v>
      </c>
      <c r="K803" s="307">
        <f t="shared" ca="1" si="363"/>
        <v>1297.9573193065803</v>
      </c>
      <c r="L803" s="304">
        <f t="shared" ca="1" si="348"/>
        <v>1895.9182619098126</v>
      </c>
      <c r="M803" s="306">
        <f t="shared" ca="1" si="364"/>
        <v>-1.3027239418670515</v>
      </c>
      <c r="N803" s="304">
        <f t="shared" ca="1" si="365"/>
        <v>-74.640583739628056</v>
      </c>
      <c r="P803" s="310">
        <f t="shared" ca="1" si="366"/>
        <v>23</v>
      </c>
      <c r="Q803" s="304">
        <f t="shared" ca="1" si="367"/>
        <v>0</v>
      </c>
      <c r="R803" s="306">
        <f t="shared" ca="1" si="368"/>
        <v>0</v>
      </c>
      <c r="S803" s="307">
        <f t="shared" ca="1" si="369"/>
        <v>12.409999999999973</v>
      </c>
      <c r="T803" s="304">
        <f t="shared" ca="1" si="349"/>
        <v>121.74209999999975</v>
      </c>
      <c r="U803" s="311">
        <f t="shared" ca="1" si="350"/>
        <v>0</v>
      </c>
      <c r="V803" s="306">
        <f t="shared" ca="1" si="351"/>
        <v>1.075690120905705</v>
      </c>
      <c r="W803" s="304">
        <f t="shared" ca="1" si="352"/>
        <v>36.766635958384576</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6.5263713293735472</v>
      </c>
      <c r="AH803" s="304">
        <f t="shared" ca="1" si="376"/>
        <v>-2.9276641812924309</v>
      </c>
    </row>
    <row r="804" spans="1:34" x14ac:dyDescent="0.25">
      <c r="A804" s="347">
        <f t="shared" ca="1" si="354"/>
        <v>0.1</v>
      </c>
      <c r="B804" s="304">
        <f t="shared" ca="1" si="355"/>
        <v>35.000000000000163</v>
      </c>
      <c r="D804" s="306">
        <f t="shared" ca="1" si="356"/>
        <v>-0.78472966629110041</v>
      </c>
      <c r="E804" s="307">
        <f t="shared" ca="1" si="357"/>
        <v>-6.9531545834354702</v>
      </c>
      <c r="F804" s="304">
        <f t="shared" ca="1" si="358"/>
        <v>6.9972965715558342</v>
      </c>
      <c r="G804" s="306">
        <f t="shared" ca="1" si="359"/>
        <v>32.327214845134954</v>
      </c>
      <c r="H804" s="307">
        <f t="shared" ca="1" si="360"/>
        <v>-118.6697526084192</v>
      </c>
      <c r="I804" s="304">
        <f t="shared" ca="1" si="361"/>
        <v>122.99414215232744</v>
      </c>
      <c r="J804" s="306">
        <f t="shared" ca="1" si="362"/>
        <v>1385.1964322111814</v>
      </c>
      <c r="K804" s="307">
        <f t="shared" ca="1" si="363"/>
        <v>1286.1251098186556</v>
      </c>
      <c r="L804" s="304">
        <f t="shared" ca="1" si="348"/>
        <v>1890.2081774018002</v>
      </c>
      <c r="M804" s="306">
        <f t="shared" ca="1" si="364"/>
        <v>-1.3048365690347306</v>
      </c>
      <c r="N804" s="304">
        <f t="shared" ca="1" si="365"/>
        <v>-74.761628360020737</v>
      </c>
      <c r="P804" s="310">
        <f t="shared" ca="1" si="366"/>
        <v>23</v>
      </c>
      <c r="Q804" s="304">
        <f t="shared" ca="1" si="367"/>
        <v>0</v>
      </c>
      <c r="R804" s="306">
        <f t="shared" ca="1" si="368"/>
        <v>0</v>
      </c>
      <c r="S804" s="307">
        <f t="shared" ca="1" si="369"/>
        <v>12.409999999999973</v>
      </c>
      <c r="T804" s="304">
        <f t="shared" ca="1" si="349"/>
        <v>121.74209999999975</v>
      </c>
      <c r="U804" s="311">
        <f t="shared" ca="1" si="350"/>
        <v>0</v>
      </c>
      <c r="V804" s="306">
        <f t="shared" ca="1" si="351"/>
        <v>1.0769689937553624</v>
      </c>
      <c r="W804" s="304">
        <f t="shared" ca="1" si="352"/>
        <v>37.202506243662</v>
      </c>
      <c r="Y804" s="314" t="str">
        <f t="shared" ca="1" si="370"/>
        <v/>
      </c>
      <c r="Z804" s="315" t="str">
        <f t="shared" ca="1" si="371"/>
        <v/>
      </c>
      <c r="AA804" s="316" t="str">
        <f t="shared" ca="1" si="372"/>
        <v/>
      </c>
      <c r="AC804" s="310">
        <f t="shared" ca="1" si="373"/>
        <v>35.000000000000163</v>
      </c>
      <c r="AD804" s="323">
        <f t="shared" ca="1" si="374"/>
        <v>1385.1964322111814</v>
      </c>
      <c r="AE804" s="324" t="e">
        <f t="shared" ca="1" si="353"/>
        <v>#N/A</v>
      </c>
      <c r="AG804" s="306">
        <f t="shared" ca="1" si="375"/>
        <v>6.4969567474577312</v>
      </c>
      <c r="AH804" s="304">
        <f t="shared" ca="1" si="376"/>
        <v>-2.9626620433831308</v>
      </c>
    </row>
    <row r="805" spans="1:34" x14ac:dyDescent="0.25">
      <c r="A805" s="347">
        <f t="shared" ca="1" si="354"/>
        <v>0.1</v>
      </c>
      <c r="B805" s="304">
        <f t="shared" ca="1" si="355"/>
        <v>35.100000000000165</v>
      </c>
      <c r="D805" s="306">
        <f t="shared" ca="1" si="356"/>
        <v>-0.78792390803756696</v>
      </c>
      <c r="E805" s="307">
        <f t="shared" ca="1" si="357"/>
        <v>-6.91761549706629</v>
      </c>
      <c r="F805" s="304">
        <f t="shared" ca="1" si="358"/>
        <v>6.9623435889152212</v>
      </c>
      <c r="G805" s="306">
        <f t="shared" ca="1" si="359"/>
        <v>32.248422454331198</v>
      </c>
      <c r="H805" s="307">
        <f t="shared" ca="1" si="360"/>
        <v>-119.36151415812583</v>
      </c>
      <c r="I805" s="304">
        <f t="shared" ca="1" si="361"/>
        <v>123.6411412633897</v>
      </c>
      <c r="J805" s="306">
        <f t="shared" ca="1" si="362"/>
        <v>1388.4252140761548</v>
      </c>
      <c r="K805" s="307">
        <f t="shared" ca="1" si="363"/>
        <v>1274.2235464803284</v>
      </c>
      <c r="L805" s="304">
        <f t="shared" ca="1" si="348"/>
        <v>1884.5079520891711</v>
      </c>
      <c r="M805" s="306">
        <f t="shared" ca="1" si="364"/>
        <v>-1.306921972922187</v>
      </c>
      <c r="N805" s="304">
        <f t="shared" ca="1" si="365"/>
        <v>-74.881113201352179</v>
      </c>
      <c r="P805" s="310">
        <f t="shared" ca="1" si="366"/>
        <v>23</v>
      </c>
      <c r="Q805" s="304">
        <f t="shared" ca="1" si="367"/>
        <v>0</v>
      </c>
      <c r="R805" s="306">
        <f t="shared" ca="1" si="368"/>
        <v>0</v>
      </c>
      <c r="S805" s="307">
        <f t="shared" ca="1" si="369"/>
        <v>12.409999999999973</v>
      </c>
      <c r="T805" s="304">
        <f t="shared" ca="1" si="349"/>
        <v>121.74209999999975</v>
      </c>
      <c r="U805" s="311">
        <f t="shared" ca="1" si="350"/>
        <v>0</v>
      </c>
      <c r="V805" s="306">
        <f t="shared" ca="1" si="351"/>
        <v>1.0782567977366539</v>
      </c>
      <c r="W805" s="304">
        <f t="shared" ca="1" si="352"/>
        <v>37.639891057387963</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6.4673025910057316</v>
      </c>
      <c r="AH805" s="304">
        <f t="shared" ca="1" si="376"/>
        <v>-2.9977845482402965</v>
      </c>
    </row>
    <row r="806" spans="1:34" x14ac:dyDescent="0.25">
      <c r="A806" s="347">
        <f t="shared" ca="1" si="354"/>
        <v>0.1</v>
      </c>
      <c r="B806" s="304">
        <f t="shared" ca="1" si="355"/>
        <v>35.200000000000166</v>
      </c>
      <c r="D806" s="306">
        <f t="shared" ca="1" si="356"/>
        <v>-0.79108298857764492</v>
      </c>
      <c r="E806" s="307">
        <f t="shared" ca="1" si="357"/>
        <v>-6.8819540320124677</v>
      </c>
      <c r="F806" s="304">
        <f t="shared" ca="1" si="358"/>
        <v>6.9272724497849509</v>
      </c>
      <c r="G806" s="306">
        <f t="shared" ca="1" si="359"/>
        <v>32.169314155473437</v>
      </c>
      <c r="H806" s="307">
        <f t="shared" ca="1" si="360"/>
        <v>-120.04970956132708</v>
      </c>
      <c r="I806" s="304">
        <f t="shared" ca="1" si="361"/>
        <v>124.28514609152829</v>
      </c>
      <c r="J806" s="306">
        <f t="shared" ca="1" si="362"/>
        <v>1391.646100906645</v>
      </c>
      <c r="K806" s="307">
        <f t="shared" ca="1" si="363"/>
        <v>1262.2529852943558</v>
      </c>
      <c r="L806" s="304">
        <f t="shared" ca="1" si="348"/>
        <v>1878.8191688007605</v>
      </c>
      <c r="M806" s="306">
        <f t="shared" ca="1" si="364"/>
        <v>-1.3089806847341214</v>
      </c>
      <c r="N806" s="304">
        <f t="shared" ca="1" si="365"/>
        <v>-74.999068699409747</v>
      </c>
      <c r="P806" s="310">
        <f t="shared" ca="1" si="366"/>
        <v>23</v>
      </c>
      <c r="Q806" s="304">
        <f t="shared" ca="1" si="367"/>
        <v>0</v>
      </c>
      <c r="R806" s="306">
        <f t="shared" ca="1" si="368"/>
        <v>0</v>
      </c>
      <c r="S806" s="307">
        <f t="shared" ca="1" si="369"/>
        <v>12.409999999999973</v>
      </c>
      <c r="T806" s="304">
        <f t="shared" ca="1" si="349"/>
        <v>121.74209999999975</v>
      </c>
      <c r="U806" s="311">
        <f t="shared" ca="1" si="350"/>
        <v>0</v>
      </c>
      <c r="V806" s="306">
        <f t="shared" ca="1" si="351"/>
        <v>1.0795535218628971</v>
      </c>
      <c r="W806" s="304">
        <f t="shared" ca="1" si="352"/>
        <v>38.078758071234923</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6.4374144971696117</v>
      </c>
      <c r="AH806" s="304">
        <f t="shared" ca="1" si="376"/>
        <v>-3.0330290940683353</v>
      </c>
    </row>
    <row r="807" spans="1:34" x14ac:dyDescent="0.25">
      <c r="A807" s="347">
        <f t="shared" ca="1" si="354"/>
        <v>0.1</v>
      </c>
      <c r="B807" s="304">
        <f t="shared" ca="1" si="355"/>
        <v>35.300000000000168</v>
      </c>
      <c r="D807" s="306">
        <f t="shared" ca="1" si="356"/>
        <v>-0.79420674081712983</v>
      </c>
      <c r="E807" s="307">
        <f t="shared" ca="1" si="357"/>
        <v>-6.8461727916875024</v>
      </c>
      <c r="F807" s="304">
        <f t="shared" ca="1" si="358"/>
        <v>6.8920857685320209</v>
      </c>
      <c r="G807" s="306">
        <f t="shared" ca="1" si="359"/>
        <v>32.089893481391726</v>
      </c>
      <c r="H807" s="307">
        <f t="shared" ca="1" si="360"/>
        <v>-120.73432684049583</v>
      </c>
      <c r="I807" s="304">
        <f t="shared" ca="1" si="361"/>
        <v>124.92613394031987</v>
      </c>
      <c r="J807" s="306">
        <f t="shared" ca="1" si="362"/>
        <v>1394.8590612884882</v>
      </c>
      <c r="K807" s="307">
        <f t="shared" ca="1" si="363"/>
        <v>1250.2137834742646</v>
      </c>
      <c r="L807" s="304">
        <f t="shared" ca="1" si="348"/>
        <v>1873.1434289043746</v>
      </c>
      <c r="M807" s="306">
        <f t="shared" ca="1" si="364"/>
        <v>-1.3110132222996185</v>
      </c>
      <c r="N807" s="304">
        <f t="shared" ca="1" si="365"/>
        <v>-75.115524523614525</v>
      </c>
      <c r="P807" s="310">
        <f t="shared" ca="1" si="366"/>
        <v>23</v>
      </c>
      <c r="Q807" s="304">
        <f t="shared" ca="1" si="367"/>
        <v>0</v>
      </c>
      <c r="R807" s="306">
        <f t="shared" ca="1" si="368"/>
        <v>0</v>
      </c>
      <c r="S807" s="307">
        <f t="shared" ca="1" si="369"/>
        <v>12.409999999999973</v>
      </c>
      <c r="T807" s="304">
        <f t="shared" ca="1" si="349"/>
        <v>121.74209999999975</v>
      </c>
      <c r="U807" s="311">
        <f t="shared" ca="1" si="350"/>
        <v>0</v>
      </c>
      <c r="V807" s="306">
        <f t="shared" ca="1" si="351"/>
        <v>1.0808591550785254</v>
      </c>
      <c r="W807" s="304">
        <f t="shared" ca="1" si="352"/>
        <v>38.519074920825517</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6.4072980089877722</v>
      </c>
      <c r="AH807" s="304">
        <f t="shared" ca="1" si="376"/>
        <v>-3.0683930758448836</v>
      </c>
    </row>
    <row r="808" spans="1:34" x14ac:dyDescent="0.25">
      <c r="A808" s="347">
        <f t="shared" ca="1" si="354"/>
        <v>0.1</v>
      </c>
      <c r="B808" s="304">
        <f t="shared" ca="1" si="355"/>
        <v>35.400000000000169</v>
      </c>
      <c r="D808" s="306">
        <f t="shared" ca="1" si="356"/>
        <v>-0.79729500328193603</v>
      </c>
      <c r="E808" s="307">
        <f t="shared" ca="1" si="357"/>
        <v>-6.8102743832616603</v>
      </c>
      <c r="F808" s="304">
        <f t="shared" ca="1" si="358"/>
        <v>6.8567861639085939</v>
      </c>
      <c r="G808" s="306">
        <f t="shared" ca="1" si="359"/>
        <v>32.010163981063535</v>
      </c>
      <c r="H808" s="307">
        <f t="shared" ca="1" si="360"/>
        <v>-121.41535427882199</v>
      </c>
      <c r="I808" s="304">
        <f t="shared" ca="1" si="361"/>
        <v>125.56408265402347</v>
      </c>
      <c r="J808" s="306">
        <f t="shared" ca="1" si="362"/>
        <v>1398.064064161611</v>
      </c>
      <c r="K808" s="307">
        <f t="shared" ca="1" si="363"/>
        <v>1238.1062994182987</v>
      </c>
      <c r="L808" s="304">
        <f t="shared" ca="1" si="348"/>
        <v>1867.482352301985</v>
      </c>
      <c r="M808" s="306">
        <f t="shared" ca="1" si="364"/>
        <v>-1.3130200904753262</v>
      </c>
      <c r="N808" s="304">
        <f t="shared" ca="1" si="365"/>
        <v>-75.230509600121692</v>
      </c>
      <c r="P808" s="310">
        <f t="shared" ca="1" si="366"/>
        <v>23</v>
      </c>
      <c r="Q808" s="304">
        <f t="shared" ca="1" si="367"/>
        <v>0</v>
      </c>
      <c r="R808" s="306">
        <f t="shared" ca="1" si="368"/>
        <v>0</v>
      </c>
      <c r="S808" s="307">
        <f t="shared" ca="1" si="369"/>
        <v>12.409999999999973</v>
      </c>
      <c r="T808" s="304">
        <f t="shared" ca="1" si="349"/>
        <v>121.74209999999975</v>
      </c>
      <c r="U808" s="311">
        <f t="shared" ca="1" si="350"/>
        <v>0</v>
      </c>
      <c r="V808" s="306">
        <f t="shared" ca="1" si="351"/>
        <v>1.0821736862594991</v>
      </c>
      <c r="W808" s="304">
        <f t="shared" ca="1" si="352"/>
        <v>38.960809209733895</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6.3769585786924612</v>
      </c>
      <c r="AH808" s="304">
        <f t="shared" ca="1" si="376"/>
        <v>-3.1038738856426753</v>
      </c>
    </row>
    <row r="809" spans="1:34" x14ac:dyDescent="0.25">
      <c r="A809" s="347">
        <f t="shared" ca="1" si="354"/>
        <v>0.1</v>
      </c>
      <c r="B809" s="304">
        <f t="shared" ca="1" si="355"/>
        <v>35.500000000000171</v>
      </c>
      <c r="D809" s="306">
        <f t="shared" ca="1" si="356"/>
        <v>-0.80034762005903748</v>
      </c>
      <c r="E809" s="307">
        <f t="shared" ca="1" si="357"/>
        <v>-6.774261417305885</v>
      </c>
      <c r="F809" s="304">
        <f t="shared" ca="1" si="358"/>
        <v>6.8213762587129958</v>
      </c>
      <c r="G809" s="306">
        <f t="shared" ca="1" si="359"/>
        <v>31.93012921905763</v>
      </c>
      <c r="H809" s="307">
        <f t="shared" ca="1" si="360"/>
        <v>-122.09278042055259</v>
      </c>
      <c r="I809" s="304">
        <f t="shared" ca="1" si="361"/>
        <v>126.19897060898312</v>
      </c>
      <c r="J809" s="306">
        <f t="shared" ca="1" si="362"/>
        <v>1401.261078821617</v>
      </c>
      <c r="K809" s="307">
        <f t="shared" ca="1" si="363"/>
        <v>1225.9308926833301</v>
      </c>
      <c r="L809" s="304">
        <f t="shared" ca="1" si="348"/>
        <v>1861.8375774099277</v>
      </c>
      <c r="M809" s="306">
        <f t="shared" ca="1" si="364"/>
        <v>-1.315001781534725</v>
      </c>
      <c r="N809" s="304">
        <f t="shared" ca="1" si="365"/>
        <v>-75.344052134124055</v>
      </c>
      <c r="P809" s="310">
        <f t="shared" ca="1" si="366"/>
        <v>23</v>
      </c>
      <c r="Q809" s="304">
        <f t="shared" ca="1" si="367"/>
        <v>0</v>
      </c>
      <c r="R809" s="306">
        <f t="shared" ca="1" si="368"/>
        <v>0</v>
      </c>
      <c r="S809" s="307">
        <f t="shared" ca="1" si="369"/>
        <v>12.409999999999973</v>
      </c>
      <c r="T809" s="304">
        <f t="shared" ca="1" si="349"/>
        <v>121.74209999999975</v>
      </c>
      <c r="U809" s="311">
        <f t="shared" ca="1" si="350"/>
        <v>0</v>
      </c>
      <c r="V809" s="306">
        <f t="shared" ca="1" si="351"/>
        <v>1.0834971042137198</v>
      </c>
      <c r="W809" s="304">
        <f t="shared" ca="1" si="352"/>
        <v>39.403928513493241</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6.3464015708641082</v>
      </c>
      <c r="AH809" s="304">
        <f t="shared" ca="1" si="376"/>
        <v>-3.1394689129519726</v>
      </c>
    </row>
    <row r="810" spans="1:34" x14ac:dyDescent="0.25">
      <c r="A810" s="347">
        <f t="shared" ca="1" si="354"/>
        <v>0.1</v>
      </c>
      <c r="B810" s="304">
        <f t="shared" ca="1" si="355"/>
        <v>35.600000000000172</v>
      </c>
      <c r="D810" s="306">
        <f t="shared" ca="1" si="356"/>
        <v>-0.80336444073923752</v>
      </c>
      <c r="E810" s="307">
        <f t="shared" ca="1" si="357"/>
        <v>-6.7381365074365771</v>
      </c>
      <c r="F810" s="304">
        <f t="shared" ca="1" si="358"/>
        <v>6.7858586794519864</v>
      </c>
      <c r="G810" s="306">
        <f t="shared" ca="1" si="359"/>
        <v>31.849792774983705</v>
      </c>
      <c r="H810" s="307">
        <f t="shared" ca="1" si="360"/>
        <v>-122.76659407129624</v>
      </c>
      <c r="I810" s="304">
        <f t="shared" ca="1" si="361"/>
        <v>126.8307767053243</v>
      </c>
      <c r="J810" s="306">
        <f t="shared" ca="1" si="362"/>
        <v>1404.4500749213191</v>
      </c>
      <c r="K810" s="307">
        <f t="shared" ca="1" si="363"/>
        <v>1213.6879239587377</v>
      </c>
      <c r="L810" s="304">
        <f t="shared" ca="1" si="348"/>
        <v>1856.2107611232539</v>
      </c>
      <c r="M810" s="306">
        <f t="shared" ca="1" si="364"/>
        <v>-1.3169587755440113</v>
      </c>
      <c r="N810" s="304">
        <f t="shared" ca="1" si="365"/>
        <v>-75.456179631388551</v>
      </c>
      <c r="P810" s="310">
        <f t="shared" ca="1" si="366"/>
        <v>23</v>
      </c>
      <c r="Q810" s="304">
        <f t="shared" ca="1" si="367"/>
        <v>0</v>
      </c>
      <c r="R810" s="306">
        <f t="shared" ca="1" si="368"/>
        <v>0</v>
      </c>
      <c r="S810" s="307">
        <f t="shared" ca="1" si="369"/>
        <v>12.409999999999973</v>
      </c>
      <c r="T810" s="304">
        <f t="shared" ca="1" si="349"/>
        <v>121.74209999999975</v>
      </c>
      <c r="U810" s="311">
        <f t="shared" ca="1" si="350"/>
        <v>0</v>
      </c>
      <c r="V810" s="306">
        <f t="shared" ca="1" si="351"/>
        <v>1.0848293976814569</v>
      </c>
      <c r="W810" s="304">
        <f t="shared" ca="1" si="352"/>
        <v>39.848400383608471</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6.315632265439648</v>
      </c>
      <c r="AH810" s="304">
        <f t="shared" ca="1" si="376"/>
        <v>-3.1751755450034911</v>
      </c>
    </row>
    <row r="811" spans="1:34" x14ac:dyDescent="0.25">
      <c r="A811" s="347">
        <f t="shared" ca="1" si="354"/>
        <v>0.1</v>
      </c>
      <c r="B811" s="304">
        <f t="shared" ca="1" si="355"/>
        <v>35.700000000000173</v>
      </c>
      <c r="D811" s="306">
        <f t="shared" ca="1" si="356"/>
        <v>-0.80634532036167816</v>
      </c>
      <c r="E811" s="307">
        <f t="shared" ca="1" si="357"/>
        <v>-6.7019022699612503</v>
      </c>
      <c r="F811" s="304">
        <f t="shared" ca="1" si="358"/>
        <v>6.7502360560043329</v>
      </c>
      <c r="G811" s="306">
        <f t="shared" ca="1" si="359"/>
        <v>31.769158242947537</v>
      </c>
      <c r="H811" s="307">
        <f t="shared" ca="1" si="360"/>
        <v>-123.43678429829237</v>
      </c>
      <c r="I811" s="304">
        <f t="shared" ca="1" si="361"/>
        <v>127.45948035893053</v>
      </c>
      <c r="J811" s="306">
        <f t="shared" ca="1" si="362"/>
        <v>1407.6310224722156</v>
      </c>
      <c r="K811" s="307">
        <f t="shared" ca="1" si="363"/>
        <v>1201.3777550402583</v>
      </c>
      <c r="L811" s="304">
        <f t="shared" ca="1" si="348"/>
        <v>1850.6035787633575</v>
      </c>
      <c r="M811" s="306">
        <f t="shared" ca="1" si="364"/>
        <v>-1.3188915407251078</v>
      </c>
      <c r="N811" s="304">
        <f t="shared" ca="1" si="365"/>
        <v>-75.566918919055212</v>
      </c>
      <c r="P811" s="310">
        <f t="shared" ca="1" si="366"/>
        <v>23</v>
      </c>
      <c r="Q811" s="304">
        <f t="shared" ca="1" si="367"/>
        <v>0</v>
      </c>
      <c r="R811" s="306">
        <f t="shared" ca="1" si="368"/>
        <v>0</v>
      </c>
      <c r="S811" s="307">
        <f t="shared" ca="1" si="369"/>
        <v>12.409999999999973</v>
      </c>
      <c r="T811" s="304">
        <f t="shared" ca="1" si="349"/>
        <v>121.74209999999975</v>
      </c>
      <c r="U811" s="311">
        <f t="shared" ca="1" si="350"/>
        <v>0</v>
      </c>
      <c r="V811" s="306">
        <f t="shared" ca="1" si="351"/>
        <v>1.0861705553357777</v>
      </c>
      <c r="W811" s="304">
        <f t="shared" ca="1" si="352"/>
        <v>40.294192351573166</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6.2846558605816139</v>
      </c>
      <c r="AH811" s="304">
        <f t="shared" ca="1" si="376"/>
        <v>-3.2109911670917453</v>
      </c>
    </row>
    <row r="812" spans="1:34" x14ac:dyDescent="0.25">
      <c r="A812" s="347">
        <f t="shared" ca="1" si="354"/>
        <v>0.1</v>
      </c>
      <c r="B812" s="304">
        <f t="shared" ca="1" si="355"/>
        <v>35.800000000000175</v>
      </c>
      <c r="D812" s="306">
        <f t="shared" ca="1" si="356"/>
        <v>-0.8092901193599733</v>
      </c>
      <c r="E812" s="307">
        <f t="shared" ca="1" si="357"/>
        <v>-6.6655613235250781</v>
      </c>
      <c r="F812" s="304">
        <f t="shared" ca="1" si="358"/>
        <v>6.7145110212856958</v>
      </c>
      <c r="G812" s="306">
        <f t="shared" ca="1" si="359"/>
        <v>31.68822923101154</v>
      </c>
      <c r="H812" s="307">
        <f t="shared" ca="1" si="360"/>
        <v>-124.10334043064488</v>
      </c>
      <c r="I812" s="304">
        <f t="shared" ca="1" si="361"/>
        <v>128.08506149368736</v>
      </c>
      <c r="J812" s="306">
        <f t="shared" ca="1" si="362"/>
        <v>1410.8038918459135</v>
      </c>
      <c r="K812" s="307">
        <f t="shared" ca="1" si="363"/>
        <v>1189.0007488038113</v>
      </c>
      <c r="L812" s="304">
        <f t="shared" ca="1" si="348"/>
        <v>1845.0177240079838</v>
      </c>
      <c r="M812" s="306">
        <f t="shared" ca="1" si="364"/>
        <v>-1.3208005338062823</v>
      </c>
      <c r="N812" s="304">
        <f t="shared" ca="1" si="365"/>
        <v>-75.676296165726185</v>
      </c>
      <c r="P812" s="310">
        <f t="shared" ca="1" si="366"/>
        <v>23</v>
      </c>
      <c r="Q812" s="304">
        <f t="shared" ca="1" si="367"/>
        <v>0</v>
      </c>
      <c r="R812" s="306">
        <f t="shared" ca="1" si="368"/>
        <v>0</v>
      </c>
      <c r="S812" s="307">
        <f t="shared" ca="1" si="369"/>
        <v>12.409999999999973</v>
      </c>
      <c r="T812" s="304">
        <f t="shared" ca="1" si="349"/>
        <v>121.74209999999975</v>
      </c>
      <c r="U812" s="311">
        <f t="shared" ca="1" si="350"/>
        <v>0</v>
      </c>
      <c r="V812" s="306">
        <f t="shared" ca="1" si="351"/>
        <v>1.0875205657829907</v>
      </c>
      <c r="W812" s="304">
        <f t="shared" ca="1" si="352"/>
        <v>40.741271932890008</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6.2534774754144644</v>
      </c>
      <c r="AH812" s="304">
        <f t="shared" ca="1" si="376"/>
        <v>-3.2469131628987311</v>
      </c>
    </row>
    <row r="813" spans="1:34" x14ac:dyDescent="0.25">
      <c r="A813" s="347">
        <f t="shared" ca="1" si="354"/>
        <v>0.1</v>
      </c>
      <c r="B813" s="304">
        <f t="shared" ca="1" si="355"/>
        <v>35.900000000000176</v>
      </c>
      <c r="D813" s="306">
        <f t="shared" ca="1" si="356"/>
        <v>-0.81219870350989265</v>
      </c>
      <c r="E813" s="307">
        <f t="shared" ca="1" si="357"/>
        <v>-6.6291162887583344</v>
      </c>
      <c r="F813" s="304">
        <f t="shared" ca="1" si="358"/>
        <v>6.6786862109148553</v>
      </c>
      <c r="G813" s="306">
        <f t="shared" ca="1" si="359"/>
        <v>31.607009360660552</v>
      </c>
      <c r="H813" s="307">
        <f t="shared" ca="1" si="360"/>
        <v>-124.76625205952071</v>
      </c>
      <c r="I813" s="304">
        <f t="shared" ca="1" si="361"/>
        <v>128.70750053398109</v>
      </c>
      <c r="J813" s="306">
        <f t="shared" ca="1" si="362"/>
        <v>1413.9686537754972</v>
      </c>
      <c r="K813" s="307">
        <f t="shared" ca="1" si="363"/>
        <v>1176.5572691793031</v>
      </c>
      <c r="L813" s="304">
        <f t="shared" ca="1" si="348"/>
        <v>1839.4549088027004</v>
      </c>
      <c r="M813" s="306">
        <f t="shared" ca="1" si="364"/>
        <v>-1.3226862003608464</v>
      </c>
      <c r="N813" s="304">
        <f t="shared" ca="1" si="365"/>
        <v>-75.784336900871679</v>
      </c>
      <c r="P813" s="310">
        <f t="shared" ca="1" si="366"/>
        <v>23</v>
      </c>
      <c r="Q813" s="304">
        <f t="shared" ca="1" si="367"/>
        <v>0</v>
      </c>
      <c r="R813" s="306">
        <f t="shared" ca="1" si="368"/>
        <v>0</v>
      </c>
      <c r="S813" s="307">
        <f t="shared" ca="1" si="369"/>
        <v>12.409999999999973</v>
      </c>
      <c r="T813" s="304">
        <f t="shared" ca="1" si="349"/>
        <v>121.74209999999975</v>
      </c>
      <c r="U813" s="311">
        <f t="shared" ca="1" si="350"/>
        <v>0</v>
      </c>
      <c r="V813" s="306">
        <f t="shared" ca="1" si="351"/>
        <v>1.0888794175630891</v>
      </c>
      <c r="W813" s="304">
        <f t="shared" ca="1" si="352"/>
        <v>41.189606631093376</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6.222102152634208</v>
      </c>
      <c r="AH813" s="304">
        <f t="shared" ca="1" si="376"/>
        <v>-3.2829389148178967</v>
      </c>
    </row>
    <row r="814" spans="1:34" x14ac:dyDescent="0.25">
      <c r="A814" s="347">
        <f t="shared" ca="1" si="354"/>
        <v>0.1</v>
      </c>
      <c r="B814" s="304">
        <f t="shared" ca="1" si="355"/>
        <v>36.000000000000178</v>
      </c>
      <c r="D814" s="306">
        <f t="shared" ca="1" si="356"/>
        <v>-0.81507094387848023</v>
      </c>
      <c r="E814" s="307">
        <f t="shared" ca="1" si="357"/>
        <v>-6.5925697879247682</v>
      </c>
      <c r="F814" s="304">
        <f t="shared" ca="1" si="358"/>
        <v>6.6427642628813333</v>
      </c>
      <c r="G814" s="306">
        <f t="shared" ca="1" si="359"/>
        <v>31.525502266272703</v>
      </c>
      <c r="H814" s="307">
        <f t="shared" ca="1" si="360"/>
        <v>-125.42550903831318</v>
      </c>
      <c r="I814" s="304">
        <f t="shared" ca="1" si="361"/>
        <v>129.32677839744076</v>
      </c>
      <c r="J814" s="306">
        <f t="shared" ca="1" si="362"/>
        <v>1417.1252793568437</v>
      </c>
      <c r="K814" s="307">
        <f t="shared" ca="1" si="363"/>
        <v>1164.0476811244114</v>
      </c>
      <c r="L814" s="304">
        <f t="shared" ca="1" si="348"/>
        <v>1833.9168632528933</v>
      </c>
      <c r="M814" s="306">
        <f t="shared" ca="1" si="364"/>
        <v>-1.3245489751343822</v>
      </c>
      <c r="N814" s="304">
        <f t="shared" ca="1" si="365"/>
        <v>-75.891066033578724</v>
      </c>
      <c r="P814" s="310">
        <f t="shared" ca="1" si="366"/>
        <v>23</v>
      </c>
      <c r="Q814" s="304">
        <f t="shared" ca="1" si="367"/>
        <v>0</v>
      </c>
      <c r="R814" s="306">
        <f t="shared" ca="1" si="368"/>
        <v>0</v>
      </c>
      <c r="S814" s="307">
        <f t="shared" ca="1" si="369"/>
        <v>12.409999999999973</v>
      </c>
      <c r="T814" s="304">
        <f t="shared" ca="1" si="349"/>
        <v>121.74209999999975</v>
      </c>
      <c r="U814" s="311">
        <f t="shared" ca="1" si="350"/>
        <v>0</v>
      </c>
      <c r="V814" s="306">
        <f t="shared" ca="1" si="351"/>
        <v>1.0902470991502089</v>
      </c>
      <c r="W814" s="304">
        <f t="shared" ca="1" si="352"/>
        <v>41.639163941773745</v>
      </c>
      <c r="Y814" s="314" t="str">
        <f t="shared" ca="1" si="370"/>
        <v/>
      </c>
      <c r="Z814" s="315" t="str">
        <f t="shared" ca="1" si="371"/>
        <v/>
      </c>
      <c r="AA814" s="316" t="str">
        <f t="shared" ca="1" si="372"/>
        <v/>
      </c>
      <c r="AC814" s="310">
        <f t="shared" ca="1" si="373"/>
        <v>36.000000000000178</v>
      </c>
      <c r="AD814" s="323">
        <f t="shared" ca="1" si="374"/>
        <v>1417.1252793568437</v>
      </c>
      <c r="AE814" s="324" t="e">
        <f t="shared" ca="1" si="353"/>
        <v>#N/A</v>
      </c>
      <c r="AG814" s="306">
        <f t="shared" ca="1" si="375"/>
        <v>6.1905348609972579</v>
      </c>
      <c r="AH814" s="304">
        <f t="shared" ca="1" si="376"/>
        <v>-3.3190658042782806</v>
      </c>
    </row>
    <row r="815" spans="1:34" x14ac:dyDescent="0.25">
      <c r="A815" s="347">
        <f t="shared" ca="1" si="354"/>
        <v>0.1</v>
      </c>
      <c r="B815" s="304">
        <f t="shared" ca="1" si="355"/>
        <v>36.100000000000179</v>
      </c>
      <c r="D815" s="306">
        <f t="shared" ca="1" si="356"/>
        <v>-0.81790671677454496</v>
      </c>
      <c r="E815" s="307">
        <f t="shared" ca="1" si="357"/>
        <v>-6.5559244445708984</v>
      </c>
      <c r="F815" s="304">
        <f t="shared" ca="1" si="358"/>
        <v>6.6067478172143943</v>
      </c>
      <c r="G815" s="306">
        <f t="shared" ca="1" si="359"/>
        <v>31.44371159459525</v>
      </c>
      <c r="H815" s="307">
        <f t="shared" ca="1" si="360"/>
        <v>-126.08110148277026</v>
      </c>
      <c r="I815" s="304">
        <f t="shared" ca="1" si="361"/>
        <v>129.9428764879118</v>
      </c>
      <c r="J815" s="306">
        <f t="shared" ca="1" si="362"/>
        <v>1420.2737400498872</v>
      </c>
      <c r="K815" s="307">
        <f t="shared" ca="1" si="363"/>
        <v>1151.4723505983573</v>
      </c>
      <c r="L815" s="304">
        <f t="shared" ca="1" si="348"/>
        <v>1828.405335495333</v>
      </c>
      <c r="M815" s="306">
        <f t="shared" ca="1" si="364"/>
        <v>-1.3263892823609245</v>
      </c>
      <c r="N815" s="304">
        <f t="shared" ca="1" si="365"/>
        <v>-75.996507870667017</v>
      </c>
      <c r="P815" s="310">
        <f t="shared" ca="1" si="366"/>
        <v>23</v>
      </c>
      <c r="Q815" s="304">
        <f t="shared" ca="1" si="367"/>
        <v>0</v>
      </c>
      <c r="R815" s="306">
        <f t="shared" ca="1" si="368"/>
        <v>0</v>
      </c>
      <c r="S815" s="307">
        <f t="shared" ca="1" si="369"/>
        <v>12.409999999999973</v>
      </c>
      <c r="T815" s="304">
        <f t="shared" ca="1" si="349"/>
        <v>121.74209999999975</v>
      </c>
      <c r="U815" s="311">
        <f t="shared" ca="1" si="350"/>
        <v>0</v>
      </c>
      <c r="V815" s="306">
        <f t="shared" ca="1" si="351"/>
        <v>1.0916235989530931</v>
      </c>
      <c r="W815" s="304">
        <f t="shared" ca="1" si="352"/>
        <v>42.089911356602528</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6.1587804976939857</v>
      </c>
      <c r="AH815" s="304">
        <f t="shared" ca="1" si="376"/>
        <v>-3.3552912120688023</v>
      </c>
    </row>
    <row r="816" spans="1:34" x14ac:dyDescent="0.25">
      <c r="A816" s="347">
        <f t="shared" ca="1" si="354"/>
        <v>0.1</v>
      </c>
      <c r="B816" s="304">
        <f t="shared" ca="1" si="355"/>
        <v>36.20000000000018</v>
      </c>
      <c r="D816" s="306">
        <f t="shared" ca="1" si="356"/>
        <v>-0.8207059037004294</v>
      </c>
      <c r="E816" s="307">
        <f t="shared" ca="1" si="357"/>
        <v>-6.5191828831762795</v>
      </c>
      <c r="F816" s="304">
        <f t="shared" ca="1" si="358"/>
        <v>6.5706395156535047</v>
      </c>
      <c r="G816" s="306">
        <f t="shared" ca="1" si="359"/>
        <v>31.361641004225206</v>
      </c>
      <c r="H816" s="307">
        <f t="shared" ca="1" si="360"/>
        <v>-126.7330197710879</v>
      </c>
      <c r="I816" s="304">
        <f t="shared" ca="1" si="361"/>
        <v>130.55577668865081</v>
      </c>
      <c r="J816" s="306">
        <f t="shared" ca="1" si="362"/>
        <v>1423.4140076798283</v>
      </c>
      <c r="K816" s="307">
        <f t="shared" ca="1" si="363"/>
        <v>1138.8316445356643</v>
      </c>
      <c r="L816" s="304">
        <f t="shared" ca="1" si="348"/>
        <v>1822.9220915483349</v>
      </c>
      <c r="M816" s="306">
        <f t="shared" ca="1" si="364"/>
        <v>-1.3282075360685155</v>
      </c>
      <c r="N816" s="304">
        <f t="shared" ca="1" si="365"/>
        <v>-76.100686134195996</v>
      </c>
      <c r="P816" s="310">
        <f t="shared" ca="1" si="366"/>
        <v>23</v>
      </c>
      <c r="Q816" s="304">
        <f t="shared" ca="1" si="367"/>
        <v>0</v>
      </c>
      <c r="R816" s="306">
        <f t="shared" ca="1" si="368"/>
        <v>0</v>
      </c>
      <c r="S816" s="307">
        <f t="shared" ca="1" si="369"/>
        <v>12.409999999999973</v>
      </c>
      <c r="T816" s="304">
        <f t="shared" ca="1" si="349"/>
        <v>121.74209999999975</v>
      </c>
      <c r="U816" s="311">
        <f t="shared" ca="1" si="350"/>
        <v>0</v>
      </c>
      <c r="V816" s="306">
        <f t="shared" ca="1" si="351"/>
        <v>1.0930089053155583</v>
      </c>
      <c r="W816" s="304">
        <f t="shared" ca="1" si="352"/>
        <v>42.541816367356383</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6.1268438906122871</v>
      </c>
      <c r="AH816" s="304">
        <f t="shared" ca="1" si="376"/>
        <v>-3.3916125186625798</v>
      </c>
    </row>
    <row r="817" spans="1:34" x14ac:dyDescent="0.25">
      <c r="A817" s="347">
        <f t="shared" ca="1" si="354"/>
        <v>0.1</v>
      </c>
      <c r="B817" s="304">
        <f t="shared" ca="1" si="355"/>
        <v>36.300000000000182</v>
      </c>
      <c r="D817" s="306">
        <f t="shared" ca="1" si="356"/>
        <v>-0.82346839130497762</v>
      </c>
      <c r="E817" s="307">
        <f t="shared" ca="1" si="357"/>
        <v>-6.4823477288047648</v>
      </c>
      <c r="F817" s="304">
        <f t="shared" ca="1" si="358"/>
        <v>6.5344420013202882</v>
      </c>
      <c r="G817" s="306">
        <f t="shared" ca="1" si="359"/>
        <v>31.279294165094708</v>
      </c>
      <c r="H817" s="307">
        <f t="shared" ca="1" si="360"/>
        <v>-127.38125454396837</v>
      </c>
      <c r="I817" s="304">
        <f t="shared" ca="1" si="361"/>
        <v>131.16546135573111</v>
      </c>
      <c r="J817" s="306">
        <f t="shared" ca="1" si="362"/>
        <v>1426.5460544382943</v>
      </c>
      <c r="K817" s="307">
        <f t="shared" ca="1" si="363"/>
        <v>1126.1259308199114</v>
      </c>
      <c r="L817" s="304">
        <f t="shared" ca="1" si="348"/>
        <v>1817.4689151395346</v>
      </c>
      <c r="M817" s="306">
        <f t="shared" ca="1" si="364"/>
        <v>-1.3300041403745282</v>
      </c>
      <c r="N817" s="304">
        <f t="shared" ca="1" si="365"/>
        <v>-76.203623978385565</v>
      </c>
      <c r="P817" s="310">
        <f t="shared" ca="1" si="366"/>
        <v>23</v>
      </c>
      <c r="Q817" s="304">
        <f t="shared" ca="1" si="367"/>
        <v>0</v>
      </c>
      <c r="R817" s="306">
        <f t="shared" ca="1" si="368"/>
        <v>0</v>
      </c>
      <c r="S817" s="307">
        <f t="shared" ca="1" si="369"/>
        <v>12.409999999999973</v>
      </c>
      <c r="T817" s="304">
        <f t="shared" ca="1" si="349"/>
        <v>121.74209999999975</v>
      </c>
      <c r="U817" s="311">
        <f t="shared" ca="1" si="350"/>
        <v>0</v>
      </c>
      <c r="V817" s="306">
        <f t="shared" ca="1" si="351"/>
        <v>1.0944030065169785</v>
      </c>
      <c r="W817" s="304">
        <f t="shared" ca="1" si="352"/>
        <v>42.994846469940533</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6.0947298004962001</v>
      </c>
      <c r="AH817" s="304">
        <f t="shared" ca="1" si="376"/>
        <v>-3.4280271045412145</v>
      </c>
    </row>
    <row r="818" spans="1:34" x14ac:dyDescent="0.25">
      <c r="A818" s="347">
        <f t="shared" ca="1" si="354"/>
        <v>0.1</v>
      </c>
      <c r="B818" s="304">
        <f t="shared" ca="1" si="355"/>
        <v>36.400000000000183</v>
      </c>
      <c r="D818" s="306">
        <f t="shared" ca="1" si="356"/>
        <v>-0.82619407133763278</v>
      </c>
      <c r="E818" s="307">
        <f t="shared" ca="1" si="357"/>
        <v>-6.4454216067567751</v>
      </c>
      <c r="F818" s="304">
        <f t="shared" ca="1" si="358"/>
        <v>6.4981579183919917</v>
      </c>
      <c r="G818" s="306">
        <f t="shared" ca="1" si="359"/>
        <v>31.196674757960945</v>
      </c>
      <c r="H818" s="307">
        <f t="shared" ca="1" si="360"/>
        <v>-128.02579670464405</v>
      </c>
      <c r="I818" s="304">
        <f t="shared" ca="1" si="361"/>
        <v>131.7719133116494</v>
      </c>
      <c r="J818" s="306">
        <f t="shared" ca="1" si="362"/>
        <v>1429.669852884447</v>
      </c>
      <c r="K818" s="307">
        <f t="shared" ca="1" si="363"/>
        <v>1113.3555782574808</v>
      </c>
      <c r="L818" s="304">
        <f t="shared" ca="1" si="348"/>
        <v>1812.0476075102679</v>
      </c>
      <c r="M818" s="306">
        <f t="shared" ca="1" si="364"/>
        <v>-1.3317794897711366</v>
      </c>
      <c r="N818" s="304">
        <f t="shared" ca="1" si="365"/>
        <v>-76.305344005972316</v>
      </c>
      <c r="P818" s="310">
        <f t="shared" ca="1" si="366"/>
        <v>23</v>
      </c>
      <c r="Q818" s="304">
        <f t="shared" ca="1" si="367"/>
        <v>0</v>
      </c>
      <c r="R818" s="306">
        <f t="shared" ca="1" si="368"/>
        <v>0</v>
      </c>
      <c r="S818" s="307">
        <f t="shared" ca="1" si="369"/>
        <v>12.409999999999973</v>
      </c>
      <c r="T818" s="304">
        <f t="shared" ca="1" si="349"/>
        <v>121.74209999999975</v>
      </c>
      <c r="U818" s="311">
        <f t="shared" ca="1" si="350"/>
        <v>0</v>
      </c>
      <c r="V818" s="306">
        <f t="shared" ca="1" si="351"/>
        <v>1.0958058907727661</v>
      </c>
      <c r="W818" s="304">
        <f t="shared" ca="1" si="352"/>
        <v>43.448969168409562</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6.0624429230043404</v>
      </c>
      <c r="AH818" s="304">
        <f t="shared" ca="1" si="376"/>
        <v>-3.4645323505189869</v>
      </c>
    </row>
    <row r="819" spans="1:34" x14ac:dyDescent="0.25">
      <c r="A819" s="347">
        <f t="shared" ca="1" si="354"/>
        <v>0.1</v>
      </c>
      <c r="B819" s="304">
        <f t="shared" ca="1" si="355"/>
        <v>36.500000000000185</v>
      </c>
      <c r="D819" s="306">
        <f t="shared" ca="1" si="356"/>
        <v>-0.82888284060359074</v>
      </c>
      <c r="E819" s="307">
        <f t="shared" ca="1" si="357"/>
        <v>-6.4084071422226394</v>
      </c>
      <c r="F819" s="304">
        <f t="shared" ca="1" si="358"/>
        <v>6.4617899117765516</v>
      </c>
      <c r="G819" s="306">
        <f t="shared" ca="1" si="359"/>
        <v>31.113786473900586</v>
      </c>
      <c r="H819" s="307">
        <f t="shared" ca="1" si="360"/>
        <v>-128.66663741886632</v>
      </c>
      <c r="I819" s="304">
        <f t="shared" ca="1" si="361"/>
        <v>132.37511583912396</v>
      </c>
      <c r="J819" s="306">
        <f t="shared" ca="1" si="362"/>
        <v>1432.7853759460399</v>
      </c>
      <c r="K819" s="307">
        <f t="shared" ca="1" si="363"/>
        <v>1100.5209565513053</v>
      </c>
      <c r="L819" s="304">
        <f t="shared" ca="1" si="348"/>
        <v>1806.6599871955527</v>
      </c>
      <c r="M819" s="306">
        <f t="shared" ca="1" si="364"/>
        <v>-1.3335339694013011</v>
      </c>
      <c r="N819" s="304">
        <f t="shared" ca="1" si="365"/>
        <v>-76.405868284022418</v>
      </c>
      <c r="P819" s="310">
        <f t="shared" ca="1" si="366"/>
        <v>23</v>
      </c>
      <c r="Q819" s="304">
        <f t="shared" ca="1" si="367"/>
        <v>0</v>
      </c>
      <c r="R819" s="306">
        <f t="shared" ca="1" si="368"/>
        <v>0</v>
      </c>
      <c r="S819" s="307">
        <f t="shared" ca="1" si="369"/>
        <v>12.409999999999973</v>
      </c>
      <c r="T819" s="304">
        <f t="shared" ca="1" si="349"/>
        <v>121.74209999999975</v>
      </c>
      <c r="U819" s="311">
        <f t="shared" ca="1" si="350"/>
        <v>0</v>
      </c>
      <c r="V819" s="306">
        <f t="shared" ca="1" si="351"/>
        <v>1.0972175462348688</v>
      </c>
      <c r="W819" s="304">
        <f t="shared" ca="1" si="352"/>
        <v>43.904151978985176</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6.0299878906727065</v>
      </c>
      <c r="AH819" s="304">
        <f t="shared" ca="1" si="376"/>
        <v>-3.5011256380668536</v>
      </c>
    </row>
    <row r="820" spans="1:34" x14ac:dyDescent="0.25">
      <c r="A820" s="347">
        <f t="shared" ca="1" si="354"/>
        <v>0.1</v>
      </c>
      <c r="B820" s="304">
        <f t="shared" ca="1" si="355"/>
        <v>36.600000000000186</v>
      </c>
      <c r="D820" s="306">
        <f t="shared" ca="1" si="356"/>
        <v>-0.8315346009199458</v>
      </c>
      <c r="E820" s="307">
        <f t="shared" ca="1" si="357"/>
        <v>-6.371306959936998</v>
      </c>
      <c r="F820" s="304">
        <f t="shared" ca="1" si="358"/>
        <v>6.4253406267892696</v>
      </c>
      <c r="G820" s="306">
        <f t="shared" ca="1" si="359"/>
        <v>31.03063301380859</v>
      </c>
      <c r="H820" s="307">
        <f t="shared" ca="1" si="360"/>
        <v>-129.30376811486002</v>
      </c>
      <c r="I820" s="304">
        <f t="shared" ca="1" si="361"/>
        <v>132.97505267507572</v>
      </c>
      <c r="J820" s="306">
        <f t="shared" ca="1" si="362"/>
        <v>1435.8925969204254</v>
      </c>
      <c r="K820" s="307">
        <f t="shared" ca="1" si="363"/>
        <v>1087.6224362746191</v>
      </c>
      <c r="L820" s="304">
        <f t="shared" ca="1" si="348"/>
        <v>1801.3078897786522</v>
      </c>
      <c r="M820" s="306">
        <f t="shared" ca="1" si="364"/>
        <v>-1.335267955325621</v>
      </c>
      <c r="N820" s="304">
        <f t="shared" ca="1" si="365"/>
        <v>-76.505218359221047</v>
      </c>
      <c r="P820" s="310">
        <f t="shared" ca="1" si="366"/>
        <v>23</v>
      </c>
      <c r="Q820" s="304">
        <f t="shared" ca="1" si="367"/>
        <v>0</v>
      </c>
      <c r="R820" s="306">
        <f t="shared" ca="1" si="368"/>
        <v>0</v>
      </c>
      <c r="S820" s="307">
        <f t="shared" ca="1" si="369"/>
        <v>12.409999999999973</v>
      </c>
      <c r="T820" s="304">
        <f t="shared" ca="1" si="349"/>
        <v>121.74209999999975</v>
      </c>
      <c r="U820" s="311">
        <f t="shared" ca="1" si="350"/>
        <v>0</v>
      </c>
      <c r="V820" s="306">
        <f t="shared" ca="1" si="351"/>
        <v>1.0986379609922703</v>
      </c>
      <c r="W820" s="304">
        <f t="shared" ca="1" si="352"/>
        <v>44.360362434069756</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5.9973692747862284</v>
      </c>
      <c r="AH820" s="304">
        <f t="shared" ca="1" si="376"/>
        <v>-3.5378043496362022</v>
      </c>
    </row>
    <row r="821" spans="1:34" x14ac:dyDescent="0.25">
      <c r="A821" s="347">
        <f t="shared" ca="1" si="354"/>
        <v>0.1</v>
      </c>
      <c r="B821" s="304">
        <f t="shared" ca="1" si="355"/>
        <v>36.700000000000188</v>
      </c>
      <c r="D821" s="306">
        <f t="shared" ca="1" si="356"/>
        <v>-0.83414925907274973</v>
      </c>
      <c r="E821" s="307">
        <f t="shared" ca="1" si="357"/>
        <v>-6.3341236838343509</v>
      </c>
      <c r="F821" s="304">
        <f t="shared" ca="1" si="358"/>
        <v>6.3888127088311855</v>
      </c>
      <c r="G821" s="306">
        <f t="shared" ca="1" si="359"/>
        <v>30.947218087901316</v>
      </c>
      <c r="H821" s="307">
        <f t="shared" ca="1" si="360"/>
        <v>-129.93718048324345</v>
      </c>
      <c r="I821" s="304">
        <f t="shared" ca="1" si="361"/>
        <v>133.57170800478337</v>
      </c>
      <c r="J821" s="306">
        <f t="shared" ca="1" si="362"/>
        <v>1438.9914894755109</v>
      </c>
      <c r="K821" s="307">
        <f t="shared" ca="1" si="363"/>
        <v>1074.6603888447139</v>
      </c>
      <c r="L821" s="304">
        <f t="shared" ca="1" si="348"/>
        <v>1795.9931676191925</v>
      </c>
      <c r="M821" s="306">
        <f t="shared" ca="1" si="364"/>
        <v>-1.3369818147803858</v>
      </c>
      <c r="N821" s="304">
        <f t="shared" ca="1" si="365"/>
        <v>-76.603415272657656</v>
      </c>
      <c r="P821" s="310">
        <f t="shared" ca="1" si="366"/>
        <v>23</v>
      </c>
      <c r="Q821" s="304">
        <f t="shared" ca="1" si="367"/>
        <v>0</v>
      </c>
      <c r="R821" s="306">
        <f t="shared" ca="1" si="368"/>
        <v>0</v>
      </c>
      <c r="S821" s="307">
        <f t="shared" ca="1" si="369"/>
        <v>12.409999999999973</v>
      </c>
      <c r="T821" s="304">
        <f t="shared" ca="1" si="349"/>
        <v>121.74209999999975</v>
      </c>
      <c r="U821" s="311">
        <f t="shared" ca="1" si="350"/>
        <v>0</v>
      </c>
      <c r="V821" s="306">
        <f t="shared" ca="1" si="351"/>
        <v>1.1000671230714965</v>
      </c>
      <c r="W821" s="304">
        <f t="shared" ca="1" si="352"/>
        <v>44.817568086254781</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5.9645915871631487</v>
      </c>
      <c r="AH821" s="304">
        <f t="shared" ca="1" si="376"/>
        <v>-3.5745658689822606</v>
      </c>
    </row>
    <row r="822" spans="1:34" x14ac:dyDescent="0.25">
      <c r="A822" s="347">
        <f t="shared" ca="1" si="354"/>
        <v>0.1</v>
      </c>
      <c r="B822" s="304">
        <f t="shared" ca="1" si="355"/>
        <v>36.800000000000189</v>
      </c>
      <c r="D822" s="306">
        <f t="shared" ca="1" si="356"/>
        <v>-0.83672672677494786</v>
      </c>
      <c r="E822" s="307">
        <f t="shared" ca="1" si="357"/>
        <v>-6.2968599367057738</v>
      </c>
      <c r="F822" s="304">
        <f t="shared" ca="1" si="358"/>
        <v>6.3522088030691943</v>
      </c>
      <c r="G822" s="306">
        <f t="shared" ca="1" si="359"/>
        <v>30.863545415223822</v>
      </c>
      <c r="H822" s="307">
        <f t="shared" ca="1" si="360"/>
        <v>-130.56686647691404</v>
      </c>
      <c r="I822" s="304">
        <f t="shared" ca="1" si="361"/>
        <v>134.16506645620493</v>
      </c>
      <c r="J822" s="306">
        <f t="shared" ca="1" si="362"/>
        <v>1442.0820276506672</v>
      </c>
      <c r="K822" s="307">
        <f t="shared" ca="1" si="363"/>
        <v>1061.635186496706</v>
      </c>
      <c r="L822" s="304">
        <f t="shared" ca="1" si="348"/>
        <v>1790.7176895538155</v>
      </c>
      <c r="M822" s="306">
        <f t="shared" ca="1" si="364"/>
        <v>-1.3386759064271569</v>
      </c>
      <c r="N822" s="304">
        <f t="shared" ca="1" si="365"/>
        <v>-76.700479574126007</v>
      </c>
      <c r="P822" s="310">
        <f t="shared" ca="1" si="366"/>
        <v>23</v>
      </c>
      <c r="Q822" s="304">
        <f t="shared" ca="1" si="367"/>
        <v>0</v>
      </c>
      <c r="R822" s="306">
        <f t="shared" ca="1" si="368"/>
        <v>0</v>
      </c>
      <c r="S822" s="307">
        <f t="shared" ca="1" si="369"/>
        <v>12.409999999999973</v>
      </c>
      <c r="T822" s="304">
        <f t="shared" ca="1" si="349"/>
        <v>121.74209999999975</v>
      </c>
      <c r="U822" s="311">
        <f t="shared" ca="1" si="350"/>
        <v>0</v>
      </c>
      <c r="V822" s="306">
        <f t="shared" ca="1" si="351"/>
        <v>1.1015050204371348</v>
      </c>
      <c r="W822" s="304">
        <f t="shared" ca="1" si="352"/>
        <v>45.275736512323441</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5.9316592818562262</v>
      </c>
      <c r="AH822" s="304">
        <f t="shared" ca="1" si="376"/>
        <v>-3.6114075814870974</v>
      </c>
    </row>
    <row r="823" spans="1:34" x14ac:dyDescent="0.25">
      <c r="A823" s="347">
        <f t="shared" ca="1" si="354"/>
        <v>0.1</v>
      </c>
      <c r="B823" s="304">
        <f t="shared" ca="1" si="355"/>
        <v>36.90000000000019</v>
      </c>
      <c r="D823" s="306">
        <f t="shared" ca="1" si="356"/>
        <v>-0.83926692062510433</v>
      </c>
      <c r="E823" s="307">
        <f t="shared" ca="1" si="357"/>
        <v>-6.2595183398568048</v>
      </c>
      <c r="F823" s="304">
        <f t="shared" ca="1" si="358"/>
        <v>6.3155315541179302</v>
      </c>
      <c r="G823" s="306">
        <f t="shared" ca="1" si="359"/>
        <v>30.77961872316131</v>
      </c>
      <c r="H823" s="307">
        <f t="shared" ca="1" si="360"/>
        <v>-131.19281831089972</v>
      </c>
      <c r="I823" s="304">
        <f t="shared" ca="1" si="361"/>
        <v>134.75511309445713</v>
      </c>
      <c r="J823" s="306">
        <f t="shared" ca="1" si="362"/>
        <v>1445.1641858575865</v>
      </c>
      <c r="K823" s="307">
        <f t="shared" ca="1" si="363"/>
        <v>1048.5472022573153</v>
      </c>
      <c r="L823" s="304">
        <f t="shared" ca="1" si="348"/>
        <v>1785.483340568336</v>
      </c>
      <c r="M823" s="306">
        <f t="shared" ca="1" si="364"/>
        <v>-1.3403505805941824</v>
      </c>
      <c r="N823" s="304">
        <f t="shared" ca="1" si="365"/>
        <v>-76.796431335956157</v>
      </c>
      <c r="P823" s="310">
        <f t="shared" ca="1" si="366"/>
        <v>23</v>
      </c>
      <c r="Q823" s="304">
        <f t="shared" ca="1" si="367"/>
        <v>0</v>
      </c>
      <c r="R823" s="306">
        <f t="shared" ca="1" si="368"/>
        <v>0</v>
      </c>
      <c r="S823" s="307">
        <f t="shared" ca="1" si="369"/>
        <v>12.409999999999973</v>
      </c>
      <c r="T823" s="304">
        <f t="shared" ca="1" si="349"/>
        <v>121.74209999999975</v>
      </c>
      <c r="U823" s="311">
        <f t="shared" ca="1" si="350"/>
        <v>0</v>
      </c>
      <c r="V823" s="306">
        <f t="shared" ca="1" si="351"/>
        <v>1.102951640992357</v>
      </c>
      <c r="W823" s="304">
        <f t="shared" ca="1" si="352"/>
        <v>45.734835317246009</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5.8985767567744531</v>
      </c>
      <c r="AH823" s="304">
        <f t="shared" ca="1" si="376"/>
        <v>-3.6483268744821546</v>
      </c>
    </row>
    <row r="824" spans="1:34" x14ac:dyDescent="0.25">
      <c r="A824" s="347">
        <f t="shared" ca="1" si="354"/>
        <v>0.1</v>
      </c>
      <c r="B824" s="304">
        <f t="shared" ca="1" si="355"/>
        <v>37.000000000000192</v>
      </c>
      <c r="D824" s="306">
        <f t="shared" ca="1" si="356"/>
        <v>-0.84176976206688714</v>
      </c>
      <c r="E824" s="307">
        <f t="shared" ca="1" si="357"/>
        <v>-6.2221015127666277</v>
      </c>
      <c r="F824" s="304">
        <f t="shared" ca="1" si="358"/>
        <v>6.2787836057235564</v>
      </c>
      <c r="G824" s="306">
        <f t="shared" ca="1" si="359"/>
        <v>30.695441746954621</v>
      </c>
      <c r="H824" s="307">
        <f t="shared" ca="1" si="360"/>
        <v>-131.8150284621764</v>
      </c>
      <c r="I824" s="304">
        <f t="shared" ca="1" si="361"/>
        <v>135.34183341644615</v>
      </c>
      <c r="J824" s="306">
        <f t="shared" ca="1" si="362"/>
        <v>1448.2379388810923</v>
      </c>
      <c r="K824" s="307">
        <f t="shared" ca="1" si="363"/>
        <v>1035.3968099186616</v>
      </c>
      <c r="L824" s="304">
        <f t="shared" ca="1" si="348"/>
        <v>1780.292021440386</v>
      </c>
      <c r="M824" s="306">
        <f t="shared" ca="1" si="364"/>
        <v>-1.3420061795099487</v>
      </c>
      <c r="N824" s="304">
        <f t="shared" ca="1" si="365"/>
        <v>-76.891290166396004</v>
      </c>
      <c r="P824" s="310">
        <f t="shared" ca="1" si="366"/>
        <v>23</v>
      </c>
      <c r="Q824" s="304">
        <f t="shared" ca="1" si="367"/>
        <v>0</v>
      </c>
      <c r="R824" s="306">
        <f t="shared" ca="1" si="368"/>
        <v>0</v>
      </c>
      <c r="S824" s="307">
        <f t="shared" ca="1" si="369"/>
        <v>12.409999999999973</v>
      </c>
      <c r="T824" s="304">
        <f t="shared" ca="1" si="349"/>
        <v>121.74209999999975</v>
      </c>
      <c r="U824" s="311">
        <f t="shared" ca="1" si="350"/>
        <v>0</v>
      </c>
      <c r="V824" s="306">
        <f t="shared" ca="1" si="351"/>
        <v>1.1044069725794479</v>
      </c>
      <c r="W824" s="304">
        <f t="shared" ca="1" si="352"/>
        <v>46.194832138167421</v>
      </c>
      <c r="Y824" s="314" t="str">
        <f t="shared" ca="1" si="370"/>
        <v/>
      </c>
      <c r="Z824" s="315" t="str">
        <f t="shared" ca="1" si="371"/>
        <v/>
      </c>
      <c r="AA824" s="316" t="str">
        <f t="shared" ca="1" si="372"/>
        <v/>
      </c>
      <c r="AC824" s="310">
        <f t="shared" ca="1" si="373"/>
        <v>37.000000000000192</v>
      </c>
      <c r="AD824" s="323">
        <f t="shared" ca="1" si="374"/>
        <v>1448.2379388810923</v>
      </c>
      <c r="AE824" s="324" t="e">
        <f t="shared" ca="1" si="353"/>
        <v>#N/A</v>
      </c>
      <c r="AG824" s="306">
        <f t="shared" ca="1" si="375"/>
        <v>5.8653483552289245</v>
      </c>
      <c r="AH824" s="304">
        <f t="shared" ca="1" si="376"/>
        <v>-3.685321137570194</v>
      </c>
    </row>
    <row r="825" spans="1:34" x14ac:dyDescent="0.25">
      <c r="A825" s="347">
        <f t="shared" ca="1" si="354"/>
        <v>0.1</v>
      </c>
      <c r="B825" s="304">
        <f t="shared" ca="1" si="355"/>
        <v>37.100000000000193</v>
      </c>
      <c r="D825" s="306">
        <f t="shared" ca="1" si="356"/>
        <v>-0.84423517734923936</v>
      </c>
      <c r="E825" s="307">
        <f t="shared" ca="1" si="357"/>
        <v>-6.1846120727485152</v>
      </c>
      <c r="F825" s="304">
        <f t="shared" ca="1" si="358"/>
        <v>6.2419676004494438</v>
      </c>
      <c r="G825" s="306">
        <f t="shared" ca="1" si="359"/>
        <v>30.611018229219699</v>
      </c>
      <c r="H825" s="307">
        <f t="shared" ca="1" si="360"/>
        <v>-132.43348966945126</v>
      </c>
      <c r="I825" s="304">
        <f t="shared" ca="1" si="361"/>
        <v>135.92521334564194</v>
      </c>
      <c r="J825" s="306">
        <f t="shared" ca="1" si="362"/>
        <v>1451.3032618799011</v>
      </c>
      <c r="K825" s="307">
        <f t="shared" ca="1" si="363"/>
        <v>1022.1843840120802</v>
      </c>
      <c r="L825" s="304">
        <f t="shared" ca="1" si="348"/>
        <v>1775.1456483515365</v>
      </c>
      <c r="M825" s="306">
        <f t="shared" ca="1" si="364"/>
        <v>-1.3436430375291548</v>
      </c>
      <c r="N825" s="304">
        <f t="shared" ca="1" si="365"/>
        <v>-76.985075222558649</v>
      </c>
      <c r="P825" s="310">
        <f t="shared" ca="1" si="366"/>
        <v>23</v>
      </c>
      <c r="Q825" s="304">
        <f t="shared" ca="1" si="367"/>
        <v>0</v>
      </c>
      <c r="R825" s="306">
        <f t="shared" ca="1" si="368"/>
        <v>0</v>
      </c>
      <c r="S825" s="307">
        <f t="shared" ca="1" si="369"/>
        <v>12.409999999999973</v>
      </c>
      <c r="T825" s="304">
        <f t="shared" ca="1" si="349"/>
        <v>121.74209999999975</v>
      </c>
      <c r="U825" s="311">
        <f t="shared" ca="1" si="350"/>
        <v>0</v>
      </c>
      <c r="V825" s="306">
        <f t="shared" ca="1" si="351"/>
        <v>1.1058710029803458</v>
      </c>
      <c r="W825" s="304">
        <f t="shared" ca="1" si="352"/>
        <v>46.655694648385932</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5.8319783674062329</v>
      </c>
      <c r="AH825" s="304">
        <f t="shared" ca="1" si="376"/>
        <v>-3.7223877629466173</v>
      </c>
    </row>
    <row r="826" spans="1:34" x14ac:dyDescent="0.25">
      <c r="A826" s="347">
        <f t="shared" ca="1" si="354"/>
        <v>0.1</v>
      </c>
      <c r="B826" s="304">
        <f t="shared" ca="1" si="355"/>
        <v>37.200000000000195</v>
      </c>
      <c r="D826" s="306">
        <f t="shared" ca="1" si="356"/>
        <v>-0.84666309748719193</v>
      </c>
      <c r="E826" s="307">
        <f t="shared" ca="1" si="357"/>
        <v>-6.1470526346116312</v>
      </c>
      <c r="F826" s="304">
        <f t="shared" ca="1" si="358"/>
        <v>6.2050861793638612</v>
      </c>
      <c r="G826" s="306">
        <f t="shared" ca="1" si="359"/>
        <v>30.526351919470979</v>
      </c>
      <c r="H826" s="307">
        <f t="shared" ca="1" si="360"/>
        <v>-133.04819493291242</v>
      </c>
      <c r="I826" s="304">
        <f t="shared" ca="1" si="361"/>
        <v>136.50523922698957</v>
      </c>
      <c r="J826" s="306">
        <f t="shared" ca="1" si="362"/>
        <v>1454.3601303873356</v>
      </c>
      <c r="K826" s="307">
        <f t="shared" ca="1" si="363"/>
        <v>1008.910299781962</v>
      </c>
      <c r="L826" s="304">
        <f t="shared" ca="1" si="348"/>
        <v>1770.0461524678944</v>
      </c>
      <c r="M826" s="306">
        <f t="shared" ca="1" si="364"/>
        <v>-1.3452614813513819</v>
      </c>
      <c r="N826" s="304">
        <f t="shared" ca="1" si="365"/>
        <v>-77.077805222951284</v>
      </c>
      <c r="P826" s="310">
        <f t="shared" ca="1" si="366"/>
        <v>23</v>
      </c>
      <c r="Q826" s="304">
        <f t="shared" ca="1" si="367"/>
        <v>0</v>
      </c>
      <c r="R826" s="306">
        <f t="shared" ca="1" si="368"/>
        <v>0</v>
      </c>
      <c r="S826" s="307">
        <f t="shared" ca="1" si="369"/>
        <v>12.409999999999973</v>
      </c>
      <c r="T826" s="304">
        <f t="shared" ca="1" si="349"/>
        <v>121.74209999999975</v>
      </c>
      <c r="U826" s="311">
        <f t="shared" ca="1" si="350"/>
        <v>0</v>
      </c>
      <c r="V826" s="306">
        <f t="shared" ca="1" si="351"/>
        <v>1.1073437199171889</v>
      </c>
      <c r="W826" s="304">
        <f t="shared" ca="1" si="352"/>
        <v>47.117390561322082</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5.79847103177267</v>
      </c>
      <c r="AH826" s="304">
        <f t="shared" ca="1" si="376"/>
        <v>-3.759524145720067</v>
      </c>
    </row>
    <row r="827" spans="1:34" x14ac:dyDescent="0.25">
      <c r="A827" s="347">
        <f t="shared" ca="1" si="354"/>
        <v>0.1</v>
      </c>
      <c r="B827" s="304">
        <f t="shared" ca="1" si="355"/>
        <v>37.300000000000196</v>
      </c>
      <c r="D827" s="306">
        <f t="shared" ca="1" si="356"/>
        <v>-0.84905345822328004</v>
      </c>
      <c r="E827" s="307">
        <f t="shared" ca="1" si="357"/>
        <v>-6.1094258103242076</v>
      </c>
      <c r="F827" s="304">
        <f t="shared" ca="1" si="358"/>
        <v>6.1681419817297094</v>
      </c>
      <c r="G827" s="306">
        <f t="shared" ca="1" si="359"/>
        <v>30.441446573648651</v>
      </c>
      <c r="H827" s="307">
        <f t="shared" ca="1" si="360"/>
        <v>-133.65913751394484</v>
      </c>
      <c r="I827" s="304">
        <f t="shared" ca="1" si="361"/>
        <v>137.0818978219514</v>
      </c>
      <c r="J827" s="306">
        <f t="shared" ca="1" si="362"/>
        <v>1457.4085203119917</v>
      </c>
      <c r="K827" s="307">
        <f t="shared" ca="1" si="363"/>
        <v>995.57493315961904</v>
      </c>
      <c r="L827" s="304">
        <f t="shared" ca="1" si="348"/>
        <v>1764.9954794881967</v>
      </c>
      <c r="M827" s="306">
        <f t="shared" ca="1" si="364"/>
        <v>-1.3468618302327249</v>
      </c>
      <c r="N827" s="304">
        <f t="shared" ca="1" si="365"/>
        <v>-77.169498459600717</v>
      </c>
      <c r="P827" s="310">
        <f t="shared" ca="1" si="366"/>
        <v>23</v>
      </c>
      <c r="Q827" s="304">
        <f t="shared" ca="1" si="367"/>
        <v>0</v>
      </c>
      <c r="R827" s="306">
        <f t="shared" ca="1" si="368"/>
        <v>0</v>
      </c>
      <c r="S827" s="307">
        <f t="shared" ca="1" si="369"/>
        <v>12.409999999999973</v>
      </c>
      <c r="T827" s="304">
        <f t="shared" ca="1" si="349"/>
        <v>121.74209999999975</v>
      </c>
      <c r="U827" s="311">
        <f t="shared" ca="1" si="350"/>
        <v>0</v>
      </c>
      <c r="V827" s="306">
        <f t="shared" ca="1" si="351"/>
        <v>1.1088251110528651</v>
      </c>
      <c r="W827" s="304">
        <f t="shared" ca="1" si="352"/>
        <v>47.579887634476698</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5.7648305364122887</v>
      </c>
      <c r="AH827" s="304">
        <f t="shared" ca="1" si="376"/>
        <v>-3.796727684232247</v>
      </c>
    </row>
    <row r="828" spans="1:34" x14ac:dyDescent="0.25">
      <c r="A828" s="347">
        <f t="shared" ca="1" si="354"/>
        <v>0.1</v>
      </c>
      <c r="B828" s="304">
        <f t="shared" ca="1" si="355"/>
        <v>37.400000000000198</v>
      </c>
      <c r="D828" s="306">
        <f t="shared" ca="1" si="356"/>
        <v>-0.85140619998949951</v>
      </c>
      <c r="E828" s="307">
        <f t="shared" ca="1" si="357"/>
        <v>-6.0717342086781763</v>
      </c>
      <c r="F828" s="304">
        <f t="shared" ca="1" si="358"/>
        <v>6.1311376446964037</v>
      </c>
      <c r="G828" s="306">
        <f t="shared" ca="1" si="359"/>
        <v>30.356305953649702</v>
      </c>
      <c r="H828" s="307">
        <f t="shared" ca="1" si="360"/>
        <v>-134.26631093481265</v>
      </c>
      <c r="I828" s="304">
        <f t="shared" ca="1" si="361"/>
        <v>137.6551763036733</v>
      </c>
      <c r="J828" s="306">
        <f t="shared" ca="1" si="362"/>
        <v>1460.4484079383565</v>
      </c>
      <c r="K828" s="307">
        <f t="shared" ca="1" si="363"/>
        <v>982.17866073718119</v>
      </c>
      <c r="L828" s="304">
        <f t="shared" ca="1" si="348"/>
        <v>1759.9955891584395</v>
      </c>
      <c r="M828" s="306">
        <f t="shared" ca="1" si="364"/>
        <v>-1.3484443961906405</v>
      </c>
      <c r="N828" s="304">
        <f t="shared" ca="1" si="365"/>
        <v>-77.260172809790362</v>
      </c>
      <c r="P828" s="310">
        <f t="shared" ca="1" si="366"/>
        <v>23</v>
      </c>
      <c r="Q828" s="304">
        <f t="shared" ca="1" si="367"/>
        <v>0</v>
      </c>
      <c r="R828" s="306">
        <f t="shared" ca="1" si="368"/>
        <v>0</v>
      </c>
      <c r="S828" s="307">
        <f t="shared" ca="1" si="369"/>
        <v>12.409999999999973</v>
      </c>
      <c r="T828" s="304">
        <f t="shared" ca="1" si="349"/>
        <v>121.74209999999975</v>
      </c>
      <c r="U828" s="311">
        <f t="shared" ca="1" si="350"/>
        <v>0</v>
      </c>
      <c r="V828" s="306">
        <f t="shared" ca="1" si="351"/>
        <v>1.1103151639915765</v>
      </c>
      <c r="W828" s="304">
        <f t="shared" ca="1" si="352"/>
        <v>48.043153673377425</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5.7310610203018451</v>
      </c>
      <c r="AH828" s="304">
        <f t="shared" ca="1" si="376"/>
        <v>-3.8339957803768572</v>
      </c>
    </row>
    <row r="829" spans="1:34" x14ac:dyDescent="0.25">
      <c r="A829" s="347">
        <f t="shared" ca="1" si="354"/>
        <v>0.1</v>
      </c>
      <c r="B829" s="304">
        <f t="shared" ca="1" si="355"/>
        <v>37.500000000000199</v>
      </c>
      <c r="D829" s="306">
        <f t="shared" ca="1" si="356"/>
        <v>-0.85372126786977143</v>
      </c>
      <c r="E829" s="307">
        <f t="shared" ca="1" si="357"/>
        <v>-6.0339804349552679</v>
      </c>
      <c r="F829" s="304">
        <f t="shared" ca="1" si="358"/>
        <v>6.0940758029939319</v>
      </c>
      <c r="G829" s="306">
        <f t="shared" ca="1" si="359"/>
        <v>30.270933826862723</v>
      </c>
      <c r="H829" s="307">
        <f t="shared" ca="1" si="360"/>
        <v>-134.86970897830818</v>
      </c>
      <c r="I829" s="304">
        <f t="shared" ca="1" si="361"/>
        <v>138.22506225226974</v>
      </c>
      <c r="J829" s="306">
        <f t="shared" ca="1" si="362"/>
        <v>1463.479769927382</v>
      </c>
      <c r="K829" s="307">
        <f t="shared" ca="1" si="363"/>
        <v>968.72185974152512</v>
      </c>
      <c r="L829" s="304">
        <f t="shared" ca="1" si="348"/>
        <v>1755.0484547521137</v>
      </c>
      <c r="M829" s="306">
        <f t="shared" ca="1" si="364"/>
        <v>-1.350009484202253</v>
      </c>
      <c r="N829" s="304">
        <f t="shared" ca="1" si="365"/>
        <v>-77.349845747422279</v>
      </c>
      <c r="P829" s="310">
        <f t="shared" ca="1" si="366"/>
        <v>23</v>
      </c>
      <c r="Q829" s="304">
        <f t="shared" ca="1" si="367"/>
        <v>0</v>
      </c>
      <c r="R829" s="306">
        <f t="shared" ca="1" si="368"/>
        <v>0</v>
      </c>
      <c r="S829" s="307">
        <f t="shared" ca="1" si="369"/>
        <v>12.409999999999973</v>
      </c>
      <c r="T829" s="304">
        <f t="shared" ca="1" si="349"/>
        <v>121.74209999999975</v>
      </c>
      <c r="U829" s="311">
        <f t="shared" ca="1" si="350"/>
        <v>0</v>
      </c>
      <c r="V829" s="306">
        <f t="shared" ca="1" si="351"/>
        <v>1.1118138662794015</v>
      </c>
      <c r="W829" s="304">
        <f t="shared" ca="1" si="352"/>
        <v>48.507156535512316</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5.6971665745253945</v>
      </c>
      <c r="AH829" s="304">
        <f t="shared" ca="1" si="376"/>
        <v>-3.8713258399176089</v>
      </c>
    </row>
    <row r="830" spans="1:34" x14ac:dyDescent="0.25">
      <c r="A830" s="347">
        <f t="shared" ca="1" si="354"/>
        <v>0.1</v>
      </c>
      <c r="B830" s="304">
        <f t="shared" ca="1" si="355"/>
        <v>37.6000000000002</v>
      </c>
      <c r="D830" s="306">
        <f t="shared" ca="1" si="356"/>
        <v>-0.85599861156286638</v>
      </c>
      <c r="E830" s="307">
        <f t="shared" ca="1" si="357"/>
        <v>-5.9961670905946862</v>
      </c>
      <c r="F830" s="304">
        <f t="shared" ca="1" si="358"/>
        <v>6.0569590886292355</v>
      </c>
      <c r="G830" s="306">
        <f t="shared" ca="1" si="359"/>
        <v>30.185333965706437</v>
      </c>
      <c r="H830" s="307">
        <f t="shared" ca="1" si="360"/>
        <v>-135.46932568736764</v>
      </c>
      <c r="I830" s="304">
        <f t="shared" ca="1" si="361"/>
        <v>138.79154365022143</v>
      </c>
      <c r="J830" s="306">
        <f t="shared" ca="1" si="362"/>
        <v>1466.5025833170105</v>
      </c>
      <c r="K830" s="307">
        <f t="shared" ca="1" si="363"/>
        <v>955.20490800824132</v>
      </c>
      <c r="L830" s="304">
        <f t="shared" ca="1" si="348"/>
        <v>1750.1560625151399</v>
      </c>
      <c r="M830" s="306">
        <f t="shared" ca="1" si="364"/>
        <v>-1.3515573923963551</v>
      </c>
      <c r="N830" s="304">
        <f t="shared" ca="1" si="365"/>
        <v>-77.438534354018046</v>
      </c>
      <c r="P830" s="310">
        <f t="shared" ca="1" si="366"/>
        <v>23</v>
      </c>
      <c r="Q830" s="304">
        <f t="shared" ca="1" si="367"/>
        <v>0</v>
      </c>
      <c r="R830" s="306">
        <f t="shared" ca="1" si="368"/>
        <v>0</v>
      </c>
      <c r="S830" s="307">
        <f t="shared" ca="1" si="369"/>
        <v>12.409999999999973</v>
      </c>
      <c r="T830" s="304">
        <f t="shared" ca="1" si="349"/>
        <v>121.74209999999975</v>
      </c>
      <c r="U830" s="311">
        <f t="shared" ca="1" si="350"/>
        <v>0</v>
      </c>
      <c r="V830" s="306">
        <f t="shared" ca="1" si="351"/>
        <v>1.113321205404876</v>
      </c>
      <c r="W830" s="304">
        <f t="shared" ca="1" si="352"/>
        <v>48.971864134250183</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5.6631512434312867</v>
      </c>
      <c r="AH830" s="304">
        <f t="shared" ca="1" si="376"/>
        <v>-3.9087152728051908</v>
      </c>
    </row>
    <row r="831" spans="1:34" x14ac:dyDescent="0.25">
      <c r="A831" s="347">
        <f t="shared" ca="1" si="354"/>
        <v>0.1</v>
      </c>
      <c r="B831" s="304">
        <f t="shared" ca="1" si="355"/>
        <v>37.700000000000202</v>
      </c>
      <c r="D831" s="306">
        <f t="shared" ca="1" si="356"/>
        <v>-0.85823818534575602</v>
      </c>
      <c r="E831" s="307">
        <f t="shared" ca="1" si="357"/>
        <v>-5.9582967728623357</v>
      </c>
      <c r="F831" s="304">
        <f t="shared" ca="1" si="358"/>
        <v>6.0197901305848944</v>
      </c>
      <c r="G831" s="306">
        <f t="shared" ca="1" si="359"/>
        <v>30.099510147171863</v>
      </c>
      <c r="H831" s="307">
        <f t="shared" ca="1" si="360"/>
        <v>-136.06515536465389</v>
      </c>
      <c r="I831" s="304">
        <f t="shared" ca="1" si="361"/>
        <v>139.35460887788068</v>
      </c>
      <c r="J831" s="306">
        <f t="shared" ca="1" si="362"/>
        <v>1469.5168255226545</v>
      </c>
      <c r="K831" s="307">
        <f t="shared" ca="1" si="363"/>
        <v>941.62818395564022</v>
      </c>
      <c r="L831" s="304">
        <f t="shared" ca="1" si="348"/>
        <v>1745.3204110746474</v>
      </c>
      <c r="M831" s="306">
        <f t="shared" ca="1" si="364"/>
        <v>-1.353088412239327</v>
      </c>
      <c r="N831" s="304">
        <f t="shared" ca="1" si="365"/>
        <v>-77.526255329371125</v>
      </c>
      <c r="P831" s="310">
        <f t="shared" ca="1" si="366"/>
        <v>23</v>
      </c>
      <c r="Q831" s="304">
        <f t="shared" ca="1" si="367"/>
        <v>0</v>
      </c>
      <c r="R831" s="306">
        <f t="shared" ca="1" si="368"/>
        <v>0</v>
      </c>
      <c r="S831" s="307">
        <f t="shared" ca="1" si="369"/>
        <v>12.409999999999973</v>
      </c>
      <c r="T831" s="304">
        <f t="shared" ca="1" si="349"/>
        <v>121.74209999999975</v>
      </c>
      <c r="U831" s="311">
        <f t="shared" ca="1" si="350"/>
        <v>0</v>
      </c>
      <c r="V831" s="306">
        <f t="shared" ca="1" si="351"/>
        <v>1.114837168799568</v>
      </c>
      <c r="W831" s="304">
        <f t="shared" ca="1" si="352"/>
        <v>49.437244442746021</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5.6290190257340633</v>
      </c>
      <c r="AH831" s="304">
        <f t="shared" ca="1" si="376"/>
        <v>-3.9461614934931739</v>
      </c>
    </row>
    <row r="832" spans="1:34" x14ac:dyDescent="0.25">
      <c r="A832" s="347">
        <f t="shared" ca="1" si="354"/>
        <v>0.1</v>
      </c>
      <c r="B832" s="304">
        <f t="shared" ca="1" si="355"/>
        <v>37.800000000000203</v>
      </c>
      <c r="D832" s="306">
        <f t="shared" ca="1" si="356"/>
        <v>-0.86043994803734414</v>
      </c>
      <c r="E832" s="307">
        <f t="shared" ca="1" si="357"/>
        <v>-5.9203720745217385</v>
      </c>
      <c r="F832" s="304">
        <f t="shared" ca="1" si="358"/>
        <v>5.9825715545202911</v>
      </c>
      <c r="G832" s="306">
        <f t="shared" ca="1" si="359"/>
        <v>30.013466152368128</v>
      </c>
      <c r="H832" s="307">
        <f t="shared" ca="1" si="360"/>
        <v>-136.65719257210606</v>
      </c>
      <c r="I832" s="304">
        <f t="shared" ca="1" si="361"/>
        <v>139.91424670907901</v>
      </c>
      <c r="J832" s="306">
        <f t="shared" ca="1" si="362"/>
        <v>1472.5224743376314</v>
      </c>
      <c r="K832" s="307">
        <f t="shared" ca="1" si="363"/>
        <v>927.99206655880221</v>
      </c>
      <c r="L832" s="304">
        <f t="shared" ca="1" si="348"/>
        <v>1740.5435108107745</v>
      </c>
      <c r="M832" s="306">
        <f t="shared" ca="1" si="364"/>
        <v>-1.3546028287151921</v>
      </c>
      <c r="N832" s="304">
        <f t="shared" ca="1" si="365"/>
        <v>-77.613025001863264</v>
      </c>
      <c r="P832" s="310">
        <f t="shared" ca="1" si="366"/>
        <v>23</v>
      </c>
      <c r="Q832" s="304">
        <f t="shared" ca="1" si="367"/>
        <v>0</v>
      </c>
      <c r="R832" s="306">
        <f t="shared" ca="1" si="368"/>
        <v>0</v>
      </c>
      <c r="S832" s="307">
        <f t="shared" ca="1" si="369"/>
        <v>12.409999999999973</v>
      </c>
      <c r="T832" s="304">
        <f t="shared" ca="1" si="349"/>
        <v>121.74209999999975</v>
      </c>
      <c r="U832" s="311">
        <f t="shared" ca="1" si="350"/>
        <v>0</v>
      </c>
      <c r="V832" s="306">
        <f t="shared" ca="1" si="351"/>
        <v>1.1163617438386715</v>
      </c>
      <c r="W832" s="304">
        <f t="shared" ca="1" si="352"/>
        <v>49.903265497831391</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5.5947738755637904</v>
      </c>
      <c r="AH832" s="304">
        <f t="shared" ca="1" si="376"/>
        <v>-3.9836619212527098</v>
      </c>
    </row>
    <row r="833" spans="1:34" x14ac:dyDescent="0.25">
      <c r="A833" s="347">
        <f t="shared" ca="1" si="354"/>
        <v>0.1</v>
      </c>
      <c r="B833" s="304">
        <f t="shared" ca="1" si="355"/>
        <v>37.900000000000205</v>
      </c>
      <c r="D833" s="306">
        <f t="shared" ca="1" si="356"/>
        <v>-0.86260386296254909</v>
      </c>
      <c r="E833" s="307">
        <f t="shared" ca="1" si="357"/>
        <v>-5.8823955835066215</v>
      </c>
      <c r="F833" s="304">
        <f t="shared" ca="1" si="358"/>
        <v>5.9453059824752597</v>
      </c>
      <c r="G833" s="306">
        <f t="shared" ca="1" si="359"/>
        <v>29.927205766071872</v>
      </c>
      <c r="H833" s="307">
        <f t="shared" ca="1" si="360"/>
        <v>-137.24543213045672</v>
      </c>
      <c r="I833" s="304">
        <f t="shared" ca="1" si="361"/>
        <v>140.47044630683212</v>
      </c>
      <c r="J833" s="306">
        <f t="shared" ca="1" si="362"/>
        <v>1475.5195079335533</v>
      </c>
      <c r="K833" s="307">
        <f t="shared" ca="1" si="363"/>
        <v>914.29693532367412</v>
      </c>
      <c r="L833" s="304">
        <f t="shared" ca="1" si="348"/>
        <v>1735.8273831907186</v>
      </c>
      <c r="M833" s="306">
        <f t="shared" ca="1" si="364"/>
        <v>-1.3561009205000161</v>
      </c>
      <c r="N833" s="304">
        <f t="shared" ca="1" si="365"/>
        <v>-77.698859338456899</v>
      </c>
      <c r="P833" s="310">
        <f t="shared" ca="1" si="366"/>
        <v>23</v>
      </c>
      <c r="Q833" s="304">
        <f t="shared" ca="1" si="367"/>
        <v>0</v>
      </c>
      <c r="R833" s="306">
        <f t="shared" ca="1" si="368"/>
        <v>0</v>
      </c>
      <c r="S833" s="307">
        <f t="shared" ca="1" si="369"/>
        <v>12.409999999999973</v>
      </c>
      <c r="T833" s="304">
        <f t="shared" ca="1" si="349"/>
        <v>121.74209999999975</v>
      </c>
      <c r="U833" s="311">
        <f t="shared" ca="1" si="350"/>
        <v>0</v>
      </c>
      <c r="V833" s="306">
        <f t="shared" ca="1" si="351"/>
        <v>1.1178949178416009</v>
      </c>
      <c r="W833" s="304">
        <f t="shared" ca="1" si="352"/>
        <v>50.369895403888094</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5.560419703465115</v>
      </c>
      <c r="AH833" s="304">
        <f t="shared" ca="1" si="376"/>
        <v>-4.021213980486019</v>
      </c>
    </row>
    <row r="834" spans="1:34" x14ac:dyDescent="0.25">
      <c r="A834" s="347">
        <f t="shared" ca="1" si="354"/>
        <v>0.1</v>
      </c>
      <c r="B834" s="304">
        <f t="shared" ca="1" si="355"/>
        <v>38.000000000000206</v>
      </c>
      <c r="D834" s="306">
        <f t="shared" ca="1" si="356"/>
        <v>-0.86472989791669819</v>
      </c>
      <c r="E834" s="307">
        <f t="shared" ca="1" si="357"/>
        <v>-5.8443698825952755</v>
      </c>
      <c r="F834" s="304">
        <f t="shared" ca="1" si="358"/>
        <v>5.907996032576337</v>
      </c>
      <c r="G834" s="306">
        <f t="shared" ca="1" si="359"/>
        <v>29.840732776280202</v>
      </c>
      <c r="H834" s="307">
        <f t="shared" ca="1" si="360"/>
        <v>-137.82986911871626</v>
      </c>
      <c r="I834" s="304">
        <f t="shared" ca="1" si="361"/>
        <v>141.02319721913773</v>
      </c>
      <c r="J834" s="306">
        <f t="shared" ca="1" si="362"/>
        <v>1478.5079048606708</v>
      </c>
      <c r="K834" s="307">
        <f t="shared" ca="1" si="363"/>
        <v>900.54317026121544</v>
      </c>
      <c r="L834" s="304">
        <f t="shared" ca="1" si="348"/>
        <v>1731.1740600643284</v>
      </c>
      <c r="M834" s="306">
        <f t="shared" ca="1" si="364"/>
        <v>-1.3575829601308482</v>
      </c>
      <c r="N834" s="304">
        <f t="shared" ca="1" si="365"/>
        <v>-77.783773954374709</v>
      </c>
      <c r="P834" s="310">
        <f t="shared" ca="1" si="366"/>
        <v>23</v>
      </c>
      <c r="Q834" s="304">
        <f t="shared" ca="1" si="367"/>
        <v>0</v>
      </c>
      <c r="R834" s="306">
        <f t="shared" ca="1" si="368"/>
        <v>0</v>
      </c>
      <c r="S834" s="307">
        <f t="shared" ca="1" si="369"/>
        <v>12.409999999999973</v>
      </c>
      <c r="T834" s="304">
        <f t="shared" ca="1" si="349"/>
        <v>121.74209999999975</v>
      </c>
      <c r="U834" s="311">
        <f t="shared" ca="1" si="350"/>
        <v>0</v>
      </c>
      <c r="V834" s="306">
        <f t="shared" ca="1" si="351"/>
        <v>1.119436678072592</v>
      </c>
      <c r="W834" s="304">
        <f t="shared" ca="1" si="352"/>
        <v>50.837102336704675</v>
      </c>
      <c r="Y834" s="314" t="str">
        <f t="shared" ca="1" si="370"/>
        <v/>
      </c>
      <c r="Z834" s="315" t="str">
        <f t="shared" ca="1" si="371"/>
        <v/>
      </c>
      <c r="AA834" s="316" t="str">
        <f t="shared" ca="1" si="372"/>
        <v/>
      </c>
      <c r="AC834" s="310">
        <f t="shared" ca="1" si="373"/>
        <v>38.000000000000206</v>
      </c>
      <c r="AD834" s="323">
        <f t="shared" ca="1" si="374"/>
        <v>1478.5079048606708</v>
      </c>
      <c r="AE834" s="324" t="e">
        <f t="shared" ca="1" si="353"/>
        <v>#N/A</v>
      </c>
      <c r="AG834" s="306">
        <f t="shared" ca="1" si="375"/>
        <v>5.5259603773483121</v>
      </c>
      <c r="AH834" s="304">
        <f t="shared" ca="1" si="376"/>
        <v>-4.0588151010385332</v>
      </c>
    </row>
    <row r="835" spans="1:34" x14ac:dyDescent="0.25">
      <c r="A835" s="347">
        <f t="shared" ca="1" si="354"/>
        <v>0.1</v>
      </c>
      <c r="B835" s="304">
        <f t="shared" ca="1" si="355"/>
        <v>38.100000000000207</v>
      </c>
      <c r="D835" s="306">
        <f t="shared" ca="1" si="356"/>
        <v>-0.86681802513020856</v>
      </c>
      <c r="E835" s="307">
        <f t="shared" ca="1" si="357"/>
        <v>-5.8062975490867386</v>
      </c>
      <c r="F835" s="304">
        <f t="shared" ca="1" si="358"/>
        <v>5.8706443187457111</v>
      </c>
      <c r="G835" s="306">
        <f t="shared" ca="1" si="359"/>
        <v>29.754050973767182</v>
      </c>
      <c r="H835" s="307">
        <f t="shared" ca="1" si="360"/>
        <v>-138.41049887362493</v>
      </c>
      <c r="I835" s="304">
        <f t="shared" ca="1" si="361"/>
        <v>141.57248937486148</v>
      </c>
      <c r="J835" s="306">
        <f t="shared" ca="1" si="362"/>
        <v>1481.4876440481733</v>
      </c>
      <c r="K835" s="307">
        <f t="shared" ca="1" si="363"/>
        <v>886.73115186159839</v>
      </c>
      <c r="L835" s="304">
        <f t="shared" ca="1" si="348"/>
        <v>1726.5855829205814</v>
      </c>
      <c r="M835" s="306">
        <f t="shared" ca="1" si="364"/>
        <v>-1.3590492141694008</v>
      </c>
      <c r="N835" s="304">
        <f t="shared" ca="1" si="365"/>
        <v>-77.867784122477786</v>
      </c>
      <c r="P835" s="310">
        <f t="shared" ca="1" si="366"/>
        <v>23</v>
      </c>
      <c r="Q835" s="304">
        <f t="shared" ca="1" si="367"/>
        <v>0</v>
      </c>
      <c r="R835" s="306">
        <f t="shared" ca="1" si="368"/>
        <v>0</v>
      </c>
      <c r="S835" s="307">
        <f t="shared" ca="1" si="369"/>
        <v>12.409999999999973</v>
      </c>
      <c r="T835" s="304">
        <f t="shared" ca="1" si="349"/>
        <v>121.74209999999975</v>
      </c>
      <c r="U835" s="311">
        <f t="shared" ca="1" si="350"/>
        <v>0</v>
      </c>
      <c r="V835" s="306">
        <f t="shared" ca="1" si="351"/>
        <v>1.1209870117413141</v>
      </c>
      <c r="W835" s="304">
        <f t="shared" ca="1" si="352"/>
        <v>51.304854547314598</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5.4913997233944567</v>
      </c>
      <c r="AH835" s="304">
        <f t="shared" ca="1" si="376"/>
        <v>-4.0964627185096525</v>
      </c>
    </row>
    <row r="836" spans="1:34" x14ac:dyDescent="0.25">
      <c r="A836" s="347">
        <f t="shared" ca="1" si="354"/>
        <v>0.1</v>
      </c>
      <c r="B836" s="304">
        <f t="shared" ca="1" si="355"/>
        <v>38.200000000000209</v>
      </c>
      <c r="D836" s="306">
        <f t="shared" ca="1" si="356"/>
        <v>-0.86886822123351071</v>
      </c>
      <c r="E836" s="307">
        <f t="shared" ca="1" si="357"/>
        <v>-5.7681811544788451</v>
      </c>
      <c r="F836" s="304">
        <f t="shared" ca="1" si="358"/>
        <v>5.8332534504129328</v>
      </c>
      <c r="G836" s="306">
        <f t="shared" ca="1" si="359"/>
        <v>29.667164151643831</v>
      </c>
      <c r="H836" s="307">
        <f t="shared" ca="1" si="360"/>
        <v>-138.98731698907281</v>
      </c>
      <c r="I836" s="304">
        <f t="shared" ca="1" si="361"/>
        <v>142.11831307970689</v>
      </c>
      <c r="J836" s="306">
        <f t="shared" ca="1" si="362"/>
        <v>1484.4587048044439</v>
      </c>
      <c r="K836" s="307">
        <f t="shared" ca="1" si="363"/>
        <v>872.86126106846348</v>
      </c>
      <c r="L836" s="304">
        <f t="shared" ref="L836:L899" ca="1" si="377">SQRT(pos_x^2+pos_z^2)</f>
        <v>1722.0640021043687</v>
      </c>
      <c r="M836" s="306">
        <f t="shared" ca="1" si="364"/>
        <v>-1.3604999433606484</v>
      </c>
      <c r="N836" s="304">
        <f t="shared" ca="1" si="365"/>
        <v>-77.950904782352694</v>
      </c>
      <c r="P836" s="310">
        <f t="shared" ca="1" si="366"/>
        <v>23</v>
      </c>
      <c r="Q836" s="304">
        <f t="shared" ca="1" si="367"/>
        <v>0</v>
      </c>
      <c r="R836" s="306">
        <f t="shared" ca="1" si="368"/>
        <v>0</v>
      </c>
      <c r="S836" s="307">
        <f t="shared" ca="1" si="369"/>
        <v>12.409999999999973</v>
      </c>
      <c r="T836" s="304">
        <f t="shared" ref="T836:T899" ca="1" si="378">m*g</f>
        <v>121.74209999999975</v>
      </c>
      <c r="U836" s="311">
        <f t="shared" ref="U836:U899" ca="1" si="379">IF(pos_xz&lt;L_rampe,Poids*COS(Beta),0)</f>
        <v>0</v>
      </c>
      <c r="V836" s="306">
        <f t="shared" ref="V836:V899" ca="1" si="380">Rho_moyen*(20000-Alt_rampe-pos_z)/(20000+Alt_rampe+pos_z)</f>
        <v>1.1225459060034844</v>
      </c>
      <c r="W836" s="304">
        <f t="shared" ref="W836:W899" ca="1" si="381">1/2*Rho*Sref*Cx*vit_xz^2</f>
        <v>51.773120365815338</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5.4567415269167743</v>
      </c>
      <c r="AH836" s="304">
        <f t="shared" ca="1" si="376"/>
        <v>-4.1341542745620234</v>
      </c>
    </row>
    <row r="837" spans="1:34" x14ac:dyDescent="0.25">
      <c r="A837" s="347">
        <f t="shared" ref="A837:A900" ca="1" si="383">IF(B836+0.01&lt;=T_ini+ROUNDUP(Temps_fin_propu,0), 0.01, IF(K836&gt;0, 0.1, 0.0001))</f>
        <v>0.1</v>
      </c>
      <c r="B837" s="304">
        <f t="shared" ref="B837:B900" ca="1" si="384">B836+pas</f>
        <v>38.30000000000021</v>
      </c>
      <c r="D837" s="306">
        <f t="shared" ref="D837:D900" ca="1" si="385">IF(AND(L836&lt;L_rampe,Poussee&lt;Poids*SIN(M836)),0,(-W836+Poussee)/m*COS(M836)-U836/m*SIN(M836))</f>
        <v>-0.87088046722219803</v>
      </c>
      <c r="E837" s="307">
        <f t="shared" ref="E837:E900" ca="1" si="386">IF(AND(L836&lt;L_rampe,Poussee&lt;Poids*SIN(M836)),0,(-W836+Poussee)/m*SIN(M836)+U836/m*COS(M836)-Poids/m)</f>
        <v>-5.7300232641481932</v>
      </c>
      <c r="F837" s="304">
        <f t="shared" ref="F837:F900" ca="1" si="387">SQRT(acc_x^2+acc_z^2)</f>
        <v>5.795826032229459</v>
      </c>
      <c r="G837" s="306">
        <f t="shared" ref="G837:G900" ca="1" si="388">G836+acc_x*pas</f>
        <v>29.580076104921613</v>
      </c>
      <c r="H837" s="307">
        <f t="shared" ref="H837:H900" ca="1" si="389">H836+acc_z*pas</f>
        <v>-139.56031931548762</v>
      </c>
      <c r="I837" s="304">
        <f t="shared" ref="I837:I900" ca="1" si="390">SQRT(vit_x^2+vit_z^2)</f>
        <v>142.66065901226526</v>
      </c>
      <c r="J837" s="306">
        <f t="shared" ref="J837:J900" ca="1" si="391">J836+0.5*(vit_x+G836)*pas*(K836&gt;=0)</f>
        <v>1487.421066817272</v>
      </c>
      <c r="K837" s="307">
        <f t="shared" ref="K837:K900" ca="1" si="392">K836+0.5*(vit_z+H836)*pas</f>
        <v>858.93387925323543</v>
      </c>
      <c r="L837" s="304">
        <f t="shared" ca="1" si="377"/>
        <v>1717.6113759930806</v>
      </c>
      <c r="M837" s="306">
        <f t="shared" ref="M837:M900" ca="1" si="393">IF(AND(L836&gt;L_rampe,G837&gt;0),ATAN2(G837,H837),$M$4)</f>
        <v>-1.3619354027865238</v>
      </c>
      <c r="N837" s="304">
        <f t="shared" ref="N837:N900" ca="1" si="394">DEGREES(Beta)</f>
        <v>-78.033150549117636</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12.409999999999973</v>
      </c>
      <c r="T837" s="304">
        <f t="shared" ca="1" si="378"/>
        <v>121.74209999999975</v>
      </c>
      <c r="U837" s="311">
        <f t="shared" ca="1" si="379"/>
        <v>0</v>
      </c>
      <c r="V837" s="306">
        <f t="shared" ca="1" si="380"/>
        <v>1.124113347961494</v>
      </c>
      <c r="W837" s="304">
        <f t="shared" ca="1" si="381"/>
        <v>52.241868205167478</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5.4219895331801151</v>
      </c>
      <c r="AH837" s="304">
        <f t="shared" ref="AH837:AH900" ca="1" si="405">IF(AND(L836&lt;L_rampe,Poussee&lt;Poids*SIN(M836)), g*SIN(M836), (-W836+Poussee)/m)</f>
        <v>-4.1718872172292869</v>
      </c>
    </row>
    <row r="838" spans="1:34" x14ac:dyDescent="0.25">
      <c r="A838" s="347">
        <f t="shared" ca="1" si="383"/>
        <v>0.1</v>
      </c>
      <c r="B838" s="304">
        <f t="shared" ca="1" si="384"/>
        <v>38.400000000000212</v>
      </c>
      <c r="D838" s="306">
        <f t="shared" ca="1" si="385"/>
        <v>-0.87285474842237587</v>
      </c>
      <c r="E838" s="307">
        <f t="shared" ca="1" si="386"/>
        <v>-5.6918264370321081</v>
      </c>
      <c r="F838" s="304">
        <f t="shared" ca="1" si="387"/>
        <v>5.7583646637861614</v>
      </c>
      <c r="G838" s="306">
        <f t="shared" ca="1" si="388"/>
        <v>29.492790630079377</v>
      </c>
      <c r="H838" s="307">
        <f t="shared" ca="1" si="389"/>
        <v>-140.12950195919083</v>
      </c>
      <c r="I838" s="304">
        <f t="shared" ca="1" si="390"/>
        <v>143.19951822014124</v>
      </c>
      <c r="J838" s="306">
        <f t="shared" ca="1" si="391"/>
        <v>1490.3747101540221</v>
      </c>
      <c r="K838" s="307">
        <f t="shared" ca="1" si="392"/>
        <v>844.94938818950152</v>
      </c>
      <c r="L838" s="304">
        <f t="shared" ca="1" si="377"/>
        <v>1713.2297701325699</v>
      </c>
      <c r="M838" s="306">
        <f t="shared" ca="1" si="393"/>
        <v>-1.3633558420148868</v>
      </c>
      <c r="N838" s="304">
        <f t="shared" ca="1" si="394"/>
        <v>-78.114535721957651</v>
      </c>
      <c r="P838" s="310">
        <f t="shared" ca="1" si="395"/>
        <v>23</v>
      </c>
      <c r="Q838" s="304">
        <f t="shared" ca="1" si="396"/>
        <v>0</v>
      </c>
      <c r="R838" s="306">
        <f t="shared" ca="1" si="397"/>
        <v>0</v>
      </c>
      <c r="S838" s="307">
        <f t="shared" ca="1" si="398"/>
        <v>12.409999999999973</v>
      </c>
      <c r="T838" s="304">
        <f t="shared" ca="1" si="378"/>
        <v>121.74209999999975</v>
      </c>
      <c r="U838" s="311">
        <f t="shared" ca="1" si="379"/>
        <v>0</v>
      </c>
      <c r="V838" s="306">
        <f t="shared" ca="1" si="380"/>
        <v>1.1256893246650341</v>
      </c>
      <c r="W838" s="304">
        <f t="shared" ca="1" si="381"/>
        <v>52.711066564972469</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5.3871474481804009</v>
      </c>
      <c r="AH838" s="304">
        <f t="shared" ca="1" si="405"/>
        <v>-4.2096590012222075</v>
      </c>
    </row>
    <row r="839" spans="1:34" x14ac:dyDescent="0.25">
      <c r="A839" s="347">
        <f t="shared" ca="1" si="383"/>
        <v>0.1</v>
      </c>
      <c r="B839" s="304">
        <f t="shared" ca="1" si="384"/>
        <v>38.500000000000213</v>
      </c>
      <c r="D839" s="306">
        <f t="shared" ca="1" si="385"/>
        <v>-0.87479105445615901</v>
      </c>
      <c r="E839" s="307">
        <f t="shared" ca="1" si="386"/>
        <v>-5.6535932253126715</v>
      </c>
      <c r="F839" s="304">
        <f t="shared" ca="1" si="387"/>
        <v>5.720871939333886</v>
      </c>
      <c r="G839" s="306">
        <f t="shared" ca="1" si="388"/>
        <v>29.40531152463376</v>
      </c>
      <c r="H839" s="307">
        <f t="shared" ca="1" si="389"/>
        <v>-140.6948612817221</v>
      </c>
      <c r="I839" s="304">
        <f t="shared" ca="1" si="390"/>
        <v>143.73488211615086</v>
      </c>
      <c r="J839" s="306">
        <f t="shared" ca="1" si="391"/>
        <v>1493.3196152617577</v>
      </c>
      <c r="K839" s="307">
        <f t="shared" ca="1" si="392"/>
        <v>830.90817002745587</v>
      </c>
      <c r="L839" s="304">
        <f t="shared" ca="1" si="377"/>
        <v>1708.9212563321635</v>
      </c>
      <c r="M839" s="306">
        <f t="shared" ca="1" si="393"/>
        <v>-1.3647615052439239</v>
      </c>
      <c r="N839" s="304">
        <f t="shared" ca="1" si="394"/>
        <v>-78.195074292398203</v>
      </c>
      <c r="P839" s="310">
        <f t="shared" ca="1" si="395"/>
        <v>23</v>
      </c>
      <c r="Q839" s="304">
        <f t="shared" ca="1" si="396"/>
        <v>0</v>
      </c>
      <c r="R839" s="306">
        <f t="shared" ca="1" si="397"/>
        <v>0</v>
      </c>
      <c r="S839" s="307">
        <f t="shared" ca="1" si="398"/>
        <v>12.409999999999973</v>
      </c>
      <c r="T839" s="304">
        <f t="shared" ca="1" si="378"/>
        <v>121.74209999999975</v>
      </c>
      <c r="U839" s="311">
        <f t="shared" ca="1" si="379"/>
        <v>0</v>
      </c>
      <c r="V839" s="306">
        <f t="shared" ca="1" si="380"/>
        <v>1.1272738231117372</v>
      </c>
      <c r="W839" s="304">
        <f t="shared" ca="1" si="381"/>
        <v>53.180684035229014</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5.3522189393859136</v>
      </c>
      <c r="AH839" s="304">
        <f t="shared" ca="1" si="405"/>
        <v>-4.2474670882330852</v>
      </c>
    </row>
    <row r="840" spans="1:34" x14ac:dyDescent="0.25">
      <c r="A840" s="347">
        <f t="shared" ca="1" si="383"/>
        <v>0.1</v>
      </c>
      <c r="B840" s="304">
        <f t="shared" ca="1" si="384"/>
        <v>38.600000000000215</v>
      </c>
      <c r="D840" s="306">
        <f t="shared" ca="1" si="385"/>
        <v>-0.87668937920732926</v>
      </c>
      <c r="E840" s="307">
        <f t="shared" ca="1" si="386"/>
        <v>-5.6153261741028118</v>
      </c>
      <c r="F840" s="304">
        <f t="shared" ca="1" si="387"/>
        <v>5.6833504475070917</v>
      </c>
      <c r="G840" s="306">
        <f t="shared" ca="1" si="388"/>
        <v>29.317642586713028</v>
      </c>
      <c r="H840" s="307">
        <f t="shared" ca="1" si="389"/>
        <v>-141.25639389913238</v>
      </c>
      <c r="I840" s="304">
        <f t="shared" ca="1" si="390"/>
        <v>144.266742474588</v>
      </c>
      <c r="J840" s="306">
        <f t="shared" ca="1" si="391"/>
        <v>1496.2557629673249</v>
      </c>
      <c r="K840" s="307">
        <f t="shared" ca="1" si="392"/>
        <v>816.81060726841315</v>
      </c>
      <c r="L840" s="304">
        <f t="shared" ca="1" si="377"/>
        <v>1704.687911718484</v>
      </c>
      <c r="M840" s="306">
        <f t="shared" ca="1" si="393"/>
        <v>-1.3661526314421402</v>
      </c>
      <c r="N840" s="304">
        <f t="shared" ca="1" si="394"/>
        <v>-78.274779952326085</v>
      </c>
      <c r="P840" s="310">
        <f t="shared" ca="1" si="395"/>
        <v>23</v>
      </c>
      <c r="Q840" s="304">
        <f t="shared" ca="1" si="396"/>
        <v>0</v>
      </c>
      <c r="R840" s="306">
        <f t="shared" ca="1" si="397"/>
        <v>0</v>
      </c>
      <c r="S840" s="307">
        <f t="shared" ca="1" si="398"/>
        <v>12.409999999999973</v>
      </c>
      <c r="T840" s="304">
        <f t="shared" ca="1" si="378"/>
        <v>121.74209999999975</v>
      </c>
      <c r="U840" s="311">
        <f t="shared" ca="1" si="379"/>
        <v>0</v>
      </c>
      <c r="V840" s="306">
        <f t="shared" ca="1" si="380"/>
        <v>1.1288668302478155</v>
      </c>
      <c r="W840" s="304">
        <f t="shared" ca="1" si="381"/>
        <v>53.650689300066148</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5.3172076364420073</v>
      </c>
      <c r="AH840" s="304">
        <f t="shared" ca="1" si="405"/>
        <v>-4.2853089472384474</v>
      </c>
    </row>
    <row r="841" spans="1:34" x14ac:dyDescent="0.25">
      <c r="A841" s="347">
        <f t="shared" ca="1" si="383"/>
        <v>0.1</v>
      </c>
      <c r="B841" s="304">
        <f t="shared" ca="1" si="384"/>
        <v>38.700000000000216</v>
      </c>
      <c r="D841" s="306">
        <f t="shared" ca="1" si="385"/>
        <v>-0.87854972078710114</v>
      </c>
      <c r="E841" s="307">
        <f t="shared" ca="1" si="386"/>
        <v>-5.5770278211346058</v>
      </c>
      <c r="F841" s="304">
        <f t="shared" ca="1" si="387"/>
        <v>5.6458027710507652</v>
      </c>
      <c r="G841" s="306">
        <f t="shared" ca="1" si="388"/>
        <v>29.229787614634319</v>
      </c>
      <c r="H841" s="307">
        <f t="shared" ca="1" si="389"/>
        <v>-141.81409668124584</v>
      </c>
      <c r="I841" s="304">
        <f t="shared" ca="1" si="390"/>
        <v>144.79509142755623</v>
      </c>
      <c r="J841" s="306">
        <f t="shared" ca="1" si="391"/>
        <v>1499.1831344773923</v>
      </c>
      <c r="K841" s="307">
        <f t="shared" ca="1" si="392"/>
        <v>802.65708273939424</v>
      </c>
      <c r="L841" s="304">
        <f t="shared" ca="1" si="377"/>
        <v>1700.5318177479578</v>
      </c>
      <c r="M841" s="306">
        <f t="shared" ca="1" si="393"/>
        <v>-1.3675294544840952</v>
      </c>
      <c r="N841" s="304">
        <f t="shared" ca="1" si="394"/>
        <v>-78.353666101766464</v>
      </c>
      <c r="P841" s="310">
        <f t="shared" ca="1" si="395"/>
        <v>23</v>
      </c>
      <c r="Q841" s="304">
        <f t="shared" ca="1" si="396"/>
        <v>0</v>
      </c>
      <c r="R841" s="306">
        <f t="shared" ca="1" si="397"/>
        <v>0</v>
      </c>
      <c r="S841" s="307">
        <f t="shared" ca="1" si="398"/>
        <v>12.409999999999973</v>
      </c>
      <c r="T841" s="304">
        <f t="shared" ca="1" si="378"/>
        <v>121.74209999999975</v>
      </c>
      <c r="U841" s="311">
        <f t="shared" ca="1" si="379"/>
        <v>0</v>
      </c>
      <c r="V841" s="306">
        <f t="shared" ca="1" si="380"/>
        <v>1.1304683329687153</v>
      </c>
      <c r="W841" s="304">
        <f t="shared" ca="1" si="381"/>
        <v>54.121051141453094</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5.2821171318410158</v>
      </c>
      <c r="AH841" s="304">
        <f t="shared" ca="1" si="405"/>
        <v>-4.3231820547998598</v>
      </c>
    </row>
    <row r="842" spans="1:34" x14ac:dyDescent="0.25">
      <c r="A842" s="347">
        <f t="shared" ca="1" si="383"/>
        <v>0.1</v>
      </c>
      <c r="B842" s="304">
        <f t="shared" ca="1" si="384"/>
        <v>38.800000000000217</v>
      </c>
      <c r="D842" s="306">
        <f t="shared" ca="1" si="385"/>
        <v>-0.88037208149998836</v>
      </c>
      <c r="E842" s="307">
        <f t="shared" ca="1" si="386"/>
        <v>-5.5387006964497623</v>
      </c>
      <c r="F842" s="304">
        <f t="shared" ca="1" si="387"/>
        <v>5.6082314865506131</v>
      </c>
      <c r="G842" s="306">
        <f t="shared" ca="1" si="388"/>
        <v>29.14175040648432</v>
      </c>
      <c r="H842" s="307">
        <f t="shared" ca="1" si="389"/>
        <v>-142.36796675089082</v>
      </c>
      <c r="I842" s="304">
        <f t="shared" ca="1" si="390"/>
        <v>145.31992146136255</v>
      </c>
      <c r="J842" s="306">
        <f t="shared" ca="1" si="391"/>
        <v>1502.1017113784483</v>
      </c>
      <c r="K842" s="307">
        <f t="shared" ca="1" si="392"/>
        <v>788.44797956778746</v>
      </c>
      <c r="L842" s="304">
        <f t="shared" ca="1" si="377"/>
        <v>1696.4550591779876</v>
      </c>
      <c r="M842" s="306">
        <f t="shared" ca="1" si="393"/>
        <v>-1.3688922032820301</v>
      </c>
      <c r="N842" s="304">
        <f t="shared" ca="1" si="394"/>
        <v>-78.431745856424669</v>
      </c>
      <c r="P842" s="310">
        <f t="shared" ca="1" si="395"/>
        <v>23</v>
      </c>
      <c r="Q842" s="304">
        <f t="shared" ca="1" si="396"/>
        <v>0</v>
      </c>
      <c r="R842" s="306">
        <f t="shared" ca="1" si="397"/>
        <v>0</v>
      </c>
      <c r="S842" s="307">
        <f t="shared" ca="1" si="398"/>
        <v>12.409999999999973</v>
      </c>
      <c r="T842" s="304">
        <f t="shared" ca="1" si="378"/>
        <v>121.74209999999975</v>
      </c>
      <c r="U842" s="311">
        <f t="shared" ca="1" si="379"/>
        <v>0</v>
      </c>
      <c r="V842" s="306">
        <f t="shared" ca="1" si="380"/>
        <v>1.1320783181197716</v>
      </c>
      <c r="W842" s="304">
        <f t="shared" ca="1" si="381"/>
        <v>54.591738442884392</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5.2469509815587969</v>
      </c>
      <c r="AH842" s="304">
        <f t="shared" ca="1" si="405"/>
        <v>-4.361083895362869</v>
      </c>
    </row>
    <row r="843" spans="1:34" x14ac:dyDescent="0.25">
      <c r="A843" s="347">
        <f t="shared" ca="1" si="383"/>
        <v>0.1</v>
      </c>
      <c r="B843" s="304">
        <f t="shared" ca="1" si="384"/>
        <v>38.900000000000219</v>
      </c>
      <c r="D843" s="306">
        <f t="shared" ca="1" si="385"/>
        <v>-0.88215646780973789</v>
      </c>
      <c r="E843" s="307">
        <f t="shared" ca="1" si="386"/>
        <v>-5.5003473220923977</v>
      </c>
      <c r="F843" s="304">
        <f t="shared" ca="1" si="387"/>
        <v>5.570639164166673</v>
      </c>
      <c r="G843" s="306">
        <f t="shared" ca="1" si="388"/>
        <v>29.053534759703346</v>
      </c>
      <c r="H843" s="307">
        <f t="shared" ca="1" si="389"/>
        <v>-142.91800148310006</v>
      </c>
      <c r="I843" s="304">
        <f t="shared" ca="1" si="390"/>
        <v>145.84122541296986</v>
      </c>
      <c r="J843" s="306">
        <f t="shared" ca="1" si="391"/>
        <v>1505.0114756367577</v>
      </c>
      <c r="K843" s="307">
        <f t="shared" ca="1" si="392"/>
        <v>774.18368115608791</v>
      </c>
      <c r="L843" s="304">
        <f t="shared" ca="1" si="377"/>
        <v>1692.4597229968936</v>
      </c>
      <c r="M843" s="306">
        <f t="shared" ca="1" si="393"/>
        <v>-1.3702411019135226</v>
      </c>
      <c r="N843" s="304">
        <f t="shared" ca="1" si="394"/>
        <v>-78.509032055000148</v>
      </c>
      <c r="P843" s="310">
        <f t="shared" ca="1" si="395"/>
        <v>23</v>
      </c>
      <c r="Q843" s="304">
        <f t="shared" ca="1" si="396"/>
        <v>0</v>
      </c>
      <c r="R843" s="306">
        <f t="shared" ca="1" si="397"/>
        <v>0</v>
      </c>
      <c r="S843" s="307">
        <f t="shared" ca="1" si="398"/>
        <v>12.409999999999973</v>
      </c>
      <c r="T843" s="304">
        <f t="shared" ca="1" si="378"/>
        <v>121.74209999999975</v>
      </c>
      <c r="U843" s="311">
        <f t="shared" ca="1" si="379"/>
        <v>0</v>
      </c>
      <c r="V843" s="306">
        <f t="shared" ca="1" si="380"/>
        <v>1.1336967724968698</v>
      </c>
      <c r="W843" s="304">
        <f t="shared" ca="1" si="381"/>
        <v>55.062720193039361</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5.2117127056595063</v>
      </c>
      <c r="AH843" s="304">
        <f t="shared" ca="1" si="405"/>
        <v>-4.3990119615539491</v>
      </c>
    </row>
    <row r="844" spans="1:34" x14ac:dyDescent="0.25">
      <c r="A844" s="347">
        <f t="shared" ca="1" si="383"/>
        <v>0.1</v>
      </c>
      <c r="B844" s="304">
        <f t="shared" ca="1" si="384"/>
        <v>39.00000000000022</v>
      </c>
      <c r="D844" s="306">
        <f t="shared" ca="1" si="385"/>
        <v>-0.8839028903053241</v>
      </c>
      <c r="E844" s="307">
        <f t="shared" ca="1" si="386"/>
        <v>-5.4619702118041831</v>
      </c>
      <c r="F844" s="304">
        <f t="shared" ca="1" si="387"/>
        <v>5.5330283673704708</v>
      </c>
      <c r="G844" s="306">
        <f t="shared" ca="1" si="388"/>
        <v>28.965144470672815</v>
      </c>
      <c r="H844" s="307">
        <f t="shared" ca="1" si="389"/>
        <v>-143.46419850428046</v>
      </c>
      <c r="I844" s="304">
        <f t="shared" ca="1" si="390"/>
        <v>146.35899646650537</v>
      </c>
      <c r="J844" s="306">
        <f t="shared" ca="1" si="391"/>
        <v>1507.9124095982766</v>
      </c>
      <c r="K844" s="307">
        <f t="shared" ca="1" si="392"/>
        <v>759.86457115671885</v>
      </c>
      <c r="L844" s="304">
        <f t="shared" ca="1" si="377"/>
        <v>1688.5478973128554</v>
      </c>
      <c r="M844" s="306">
        <f t="shared" ca="1" si="393"/>
        <v>-1.3715763697453114</v>
      </c>
      <c r="N844" s="304">
        <f t="shared" ca="1" si="394"/>
        <v>-78.585537266281236</v>
      </c>
      <c r="P844" s="310">
        <f t="shared" ca="1" si="395"/>
        <v>23</v>
      </c>
      <c r="Q844" s="304">
        <f t="shared" ca="1" si="396"/>
        <v>0</v>
      </c>
      <c r="R844" s="306">
        <f t="shared" ca="1" si="397"/>
        <v>0</v>
      </c>
      <c r="S844" s="307">
        <f t="shared" ca="1" si="398"/>
        <v>12.409999999999973</v>
      </c>
      <c r="T844" s="304">
        <f t="shared" ca="1" si="378"/>
        <v>121.74209999999975</v>
      </c>
      <c r="U844" s="311">
        <f t="shared" ca="1" si="379"/>
        <v>0</v>
      </c>
      <c r="V844" s="306">
        <f t="shared" ca="1" si="380"/>
        <v>1.1353236828471165</v>
      </c>
      <c r="W844" s="304">
        <f t="shared" ca="1" si="381"/>
        <v>55.533965489415593</v>
      </c>
      <c r="Y844" s="314" t="str">
        <f t="shared" ca="1" si="399"/>
        <v/>
      </c>
      <c r="Z844" s="315" t="str">
        <f t="shared" ca="1" si="400"/>
        <v/>
      </c>
      <c r="AA844" s="316" t="str">
        <f t="shared" ca="1" si="401"/>
        <v/>
      </c>
      <c r="AC844" s="310">
        <f t="shared" ca="1" si="402"/>
        <v>39.00000000000022</v>
      </c>
      <c r="AD844" s="323">
        <f t="shared" ca="1" si="403"/>
        <v>1507.9124095982766</v>
      </c>
      <c r="AE844" s="324" t="e">
        <f t="shared" ca="1" si="382"/>
        <v>#N/A</v>
      </c>
      <c r="AG844" s="306">
        <f t="shared" ca="1" si="404"/>
        <v>5.1764057888699933</v>
      </c>
      <c r="AH844" s="304">
        <f t="shared" ca="1" si="405"/>
        <v>-4.4369637544753813</v>
      </c>
    </row>
    <row r="845" spans="1:34" x14ac:dyDescent="0.25">
      <c r="A845" s="347">
        <f t="shared" ca="1" si="383"/>
        <v>0.1</v>
      </c>
      <c r="B845" s="304">
        <f t="shared" ca="1" si="384"/>
        <v>39.100000000000222</v>
      </c>
      <c r="D845" s="306">
        <f t="shared" ca="1" si="385"/>
        <v>-0.88561136366697191</v>
      </c>
      <c r="E845" s="307">
        <f t="shared" ca="1" si="386"/>
        <v>-5.423571870721843</v>
      </c>
      <c r="F845" s="304">
        <f t="shared" ca="1" si="387"/>
        <v>5.4954016526857528</v>
      </c>
      <c r="G845" s="306">
        <f t="shared" ca="1" si="388"/>
        <v>28.876583334306119</v>
      </c>
      <c r="H845" s="307">
        <f t="shared" ca="1" si="389"/>
        <v>-144.00655569135264</v>
      </c>
      <c r="I845" s="304">
        <f t="shared" ca="1" si="390"/>
        <v>146.87322814982238</v>
      </c>
      <c r="J845" s="306">
        <f t="shared" ca="1" si="391"/>
        <v>1510.8044959885256</v>
      </c>
      <c r="K845" s="307">
        <f t="shared" ca="1" si="392"/>
        <v>745.49103344693719</v>
      </c>
      <c r="L845" s="304">
        <f t="shared" ca="1" si="377"/>
        <v>1684.7216702022101</v>
      </c>
      <c r="M845" s="306">
        <f t="shared" ca="1" si="393"/>
        <v>-1.3728982215534156</v>
      </c>
      <c r="N845" s="304">
        <f t="shared" ca="1" si="394"/>
        <v>-78.661273796027345</v>
      </c>
      <c r="P845" s="310">
        <f t="shared" ca="1" si="395"/>
        <v>23</v>
      </c>
      <c r="Q845" s="304">
        <f t="shared" ca="1" si="396"/>
        <v>0</v>
      </c>
      <c r="R845" s="306">
        <f t="shared" ca="1" si="397"/>
        <v>0</v>
      </c>
      <c r="S845" s="307">
        <f t="shared" ca="1" si="398"/>
        <v>12.409999999999973</v>
      </c>
      <c r="T845" s="304">
        <f t="shared" ca="1" si="378"/>
        <v>121.74209999999975</v>
      </c>
      <c r="U845" s="311">
        <f t="shared" ca="1" si="379"/>
        <v>0</v>
      </c>
      <c r="V845" s="306">
        <f t="shared" ca="1" si="380"/>
        <v>1.136959035869515</v>
      </c>
      <c r="W845" s="304">
        <f t="shared" ca="1" si="381"/>
        <v>56.005443541935371</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5.1410336811251902</v>
      </c>
      <c r="AH845" s="304">
        <f t="shared" ca="1" si="405"/>
        <v>-4.474936783998043</v>
      </c>
    </row>
    <row r="846" spans="1:34" x14ac:dyDescent="0.25">
      <c r="A846" s="347">
        <f t="shared" ca="1" si="383"/>
        <v>0.1</v>
      </c>
      <c r="B846" s="304">
        <f t="shared" ca="1" si="384"/>
        <v>39.200000000000223</v>
      </c>
      <c r="D846" s="306">
        <f t="shared" ca="1" si="385"/>
        <v>-0.88728190663220596</v>
      </c>
      <c r="E846" s="307">
        <f t="shared" ca="1" si="386"/>
        <v>-5.3851547950771241</v>
      </c>
      <c r="F846" s="304">
        <f t="shared" ca="1" si="387"/>
        <v>5.4577615694329324</v>
      </c>
      <c r="G846" s="306">
        <f t="shared" ca="1" si="388"/>
        <v>28.787855143642897</v>
      </c>
      <c r="H846" s="307">
        <f t="shared" ca="1" si="389"/>
        <v>-144.54507117086035</v>
      </c>
      <c r="I846" s="304">
        <f t="shared" ca="1" si="390"/>
        <v>147.38391433111164</v>
      </c>
      <c r="J846" s="306">
        <f t="shared" ca="1" si="391"/>
        <v>1513.6877179124231</v>
      </c>
      <c r="K846" s="307">
        <f t="shared" ca="1" si="392"/>
        <v>731.06345210382653</v>
      </c>
      <c r="L846" s="304">
        <f t="shared" ca="1" si="377"/>
        <v>1680.9831285176194</v>
      </c>
      <c r="M846" s="306">
        <f t="shared" ca="1" si="393"/>
        <v>-1.374206867639675</v>
      </c>
      <c r="N846" s="304">
        <f t="shared" ca="1" si="394"/>
        <v>-78.736253693646319</v>
      </c>
      <c r="P846" s="310">
        <f t="shared" ca="1" si="395"/>
        <v>23</v>
      </c>
      <c r="Q846" s="304">
        <f t="shared" ca="1" si="396"/>
        <v>0</v>
      </c>
      <c r="R846" s="306">
        <f t="shared" ca="1" si="397"/>
        <v>0</v>
      </c>
      <c r="S846" s="307">
        <f t="shared" ca="1" si="398"/>
        <v>12.409999999999973</v>
      </c>
      <c r="T846" s="304">
        <f t="shared" ca="1" si="378"/>
        <v>121.74209999999975</v>
      </c>
      <c r="U846" s="311">
        <f t="shared" ca="1" si="379"/>
        <v>0</v>
      </c>
      <c r="V846" s="306">
        <f t="shared" ca="1" si="380"/>
        <v>1.1386028182156469</v>
      </c>
      <c r="W846" s="304">
        <f t="shared" ca="1" si="381"/>
        <v>56.477123676523597</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5.1055997980857919</v>
      </c>
      <c r="AH846" s="304">
        <f t="shared" ca="1" si="405"/>
        <v>-4.512928569052014</v>
      </c>
    </row>
    <row r="847" spans="1:34" x14ac:dyDescent="0.25">
      <c r="A847" s="347">
        <f t="shared" ca="1" si="383"/>
        <v>0.1</v>
      </c>
      <c r="B847" s="304">
        <f t="shared" ca="1" si="384"/>
        <v>39.300000000000225</v>
      </c>
      <c r="D847" s="306">
        <f t="shared" ca="1" si="385"/>
        <v>-0.88891454196189212</v>
      </c>
      <c r="E847" s="307">
        <f t="shared" ca="1" si="386"/>
        <v>-5.346721471899305</v>
      </c>
      <c r="F847" s="304">
        <f t="shared" ca="1" si="387"/>
        <v>5.4201106594773867</v>
      </c>
      <c r="G847" s="306">
        <f t="shared" ca="1" si="388"/>
        <v>28.698963689446707</v>
      </c>
      <c r="H847" s="307">
        <f t="shared" ca="1" si="389"/>
        <v>-145.07974331805028</v>
      </c>
      <c r="I847" s="304">
        <f t="shared" ca="1" si="390"/>
        <v>147.89104921556117</v>
      </c>
      <c r="J847" s="306">
        <f t="shared" ca="1" si="391"/>
        <v>1516.5620588540776</v>
      </c>
      <c r="K847" s="307">
        <f t="shared" ca="1" si="392"/>
        <v>716.58221137938096</v>
      </c>
      <c r="L847" s="304">
        <f t="shared" ca="1" si="377"/>
        <v>1677.3343566567407</v>
      </c>
      <c r="M847" s="306">
        <f t="shared" ca="1" si="393"/>
        <v>-1.3755025139448351</v>
      </c>
      <c r="N847" s="304">
        <f t="shared" ca="1" si="394"/>
        <v>-78.810488758673714</v>
      </c>
      <c r="P847" s="310">
        <f t="shared" ca="1" si="395"/>
        <v>23</v>
      </c>
      <c r="Q847" s="304">
        <f t="shared" ca="1" si="396"/>
        <v>0</v>
      </c>
      <c r="R847" s="306">
        <f t="shared" ca="1" si="397"/>
        <v>0</v>
      </c>
      <c r="S847" s="307">
        <f t="shared" ca="1" si="398"/>
        <v>12.409999999999973</v>
      </c>
      <c r="T847" s="304">
        <f t="shared" ca="1" si="378"/>
        <v>121.74209999999975</v>
      </c>
      <c r="U847" s="311">
        <f t="shared" ca="1" si="379"/>
        <v>0</v>
      </c>
      <c r="V847" s="306">
        <f t="shared" ca="1" si="380"/>
        <v>1.1402550164903584</v>
      </c>
      <c r="W847" s="304">
        <f t="shared" ca="1" si="381"/>
        <v>56.948975338657235</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5.0701075216295601</v>
      </c>
      <c r="AH847" s="304">
        <f t="shared" ca="1" si="405"/>
        <v>-4.5509366379148846</v>
      </c>
    </row>
    <row r="848" spans="1:34" x14ac:dyDescent="0.25">
      <c r="A848" s="347">
        <f t="shared" ca="1" si="383"/>
        <v>0.1</v>
      </c>
      <c r="B848" s="304">
        <f t="shared" ca="1" si="384"/>
        <v>39.400000000000226</v>
      </c>
      <c r="D848" s="306">
        <f t="shared" ca="1" si="385"/>
        <v>-0.89050929640626919</v>
      </c>
      <c r="E848" s="307">
        <f t="shared" ca="1" si="386"/>
        <v>-5.3082743787202613</v>
      </c>
      <c r="F848" s="304">
        <f t="shared" ca="1" si="387"/>
        <v>5.3824514569816575</v>
      </c>
      <c r="G848" s="306">
        <f t="shared" ca="1" si="388"/>
        <v>28.609912759806079</v>
      </c>
      <c r="H848" s="307">
        <f t="shared" ca="1" si="389"/>
        <v>-145.61057075592231</v>
      </c>
      <c r="I848" s="304">
        <f t="shared" ca="1" si="390"/>
        <v>148.39462734206106</v>
      </c>
      <c r="J848" s="306">
        <f t="shared" ca="1" si="391"/>
        <v>1519.4275026765401</v>
      </c>
      <c r="K848" s="307">
        <f t="shared" ca="1" si="392"/>
        <v>702.04769567568235</v>
      </c>
      <c r="L848" s="304">
        <f t="shared" ca="1" si="377"/>
        <v>1673.7774352922204</v>
      </c>
      <c r="M848" s="306">
        <f t="shared" ca="1" si="393"/>
        <v>-1.3767853621582904</v>
      </c>
      <c r="N848" s="304">
        <f t="shared" ca="1" si="394"/>
        <v>-78.883990547060606</v>
      </c>
      <c r="P848" s="310">
        <f t="shared" ca="1" si="395"/>
        <v>23</v>
      </c>
      <c r="Q848" s="304">
        <f t="shared" ca="1" si="396"/>
        <v>0</v>
      </c>
      <c r="R848" s="306">
        <f t="shared" ca="1" si="397"/>
        <v>0</v>
      </c>
      <c r="S848" s="307">
        <f t="shared" ca="1" si="398"/>
        <v>12.409999999999973</v>
      </c>
      <c r="T848" s="304">
        <f t="shared" ca="1" si="378"/>
        <v>121.74209999999975</v>
      </c>
      <c r="U848" s="311">
        <f t="shared" ca="1" si="379"/>
        <v>0</v>
      </c>
      <c r="V848" s="306">
        <f t="shared" ca="1" si="380"/>
        <v>1.1419156172524565</v>
      </c>
      <c r="W848" s="304">
        <f t="shared" ca="1" si="381"/>
        <v>57.420968096885105</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5.0345602003173591</v>
      </c>
      <c r="AH848" s="304">
        <f t="shared" ca="1" si="405"/>
        <v>-4.5889585284977725</v>
      </c>
    </row>
    <row r="849" spans="1:34" x14ac:dyDescent="0.25">
      <c r="A849" s="347">
        <f t="shared" ca="1" si="383"/>
        <v>0.1</v>
      </c>
      <c r="B849" s="304">
        <f t="shared" ca="1" si="384"/>
        <v>39.500000000000227</v>
      </c>
      <c r="D849" s="306">
        <f t="shared" ca="1" si="385"/>
        <v>-0.89206620067094589</v>
      </c>
      <c r="E849" s="307">
        <f t="shared" ca="1" si="386"/>
        <v>-5.2698159832821538</v>
      </c>
      <c r="F849" s="304">
        <f t="shared" ca="1" si="387"/>
        <v>5.3447864881616693</v>
      </c>
      <c r="G849" s="306">
        <f t="shared" ca="1" si="388"/>
        <v>28.520706139738984</v>
      </c>
      <c r="H849" s="307">
        <f t="shared" ca="1" si="389"/>
        <v>-146.13755235425052</v>
      </c>
      <c r="I849" s="304">
        <f t="shared" ca="1" si="390"/>
        <v>148.89464357995104</v>
      </c>
      <c r="J849" s="306">
        <f t="shared" ca="1" si="391"/>
        <v>1522.2840336215174</v>
      </c>
      <c r="K849" s="307">
        <f t="shared" ca="1" si="392"/>
        <v>687.46028952017366</v>
      </c>
      <c r="L849" s="304">
        <f t="shared" ca="1" si="377"/>
        <v>1670.3144400639535</v>
      </c>
      <c r="M849" s="306">
        <f t="shared" ca="1" si="393"/>
        <v>-1.3780556098245982</v>
      </c>
      <c r="N849" s="304">
        <f t="shared" ca="1" si="394"/>
        <v>-78.956770377276385</v>
      </c>
      <c r="P849" s="310">
        <f t="shared" ca="1" si="395"/>
        <v>23</v>
      </c>
      <c r="Q849" s="304">
        <f t="shared" ca="1" si="396"/>
        <v>0</v>
      </c>
      <c r="R849" s="306">
        <f t="shared" ca="1" si="397"/>
        <v>0</v>
      </c>
      <c r="S849" s="307">
        <f t="shared" ca="1" si="398"/>
        <v>12.409999999999973</v>
      </c>
      <c r="T849" s="304">
        <f t="shared" ca="1" si="378"/>
        <v>121.74209999999975</v>
      </c>
      <c r="U849" s="311">
        <f t="shared" ca="1" si="379"/>
        <v>0</v>
      </c>
      <c r="V849" s="306">
        <f t="shared" ca="1" si="380"/>
        <v>1.1435846070154081</v>
      </c>
      <c r="W849" s="304">
        <f t="shared" ca="1" si="381"/>
        <v>57.893071646316933</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4.9989611498351563</v>
      </c>
      <c r="AH849" s="304">
        <f t="shared" ca="1" si="405"/>
        <v>-4.6269917886289464</v>
      </c>
    </row>
    <row r="850" spans="1:34" x14ac:dyDescent="0.25">
      <c r="A850" s="347">
        <f t="shared" ca="1" si="383"/>
        <v>0.1</v>
      </c>
      <c r="B850" s="304">
        <f t="shared" ca="1" si="384"/>
        <v>39.600000000000229</v>
      </c>
      <c r="D850" s="306">
        <f t="shared" ca="1" si="385"/>
        <v>-0.89358528938285675</v>
      </c>
      <c r="E850" s="307">
        <f t="shared" ca="1" si="386"/>
        <v>-5.2313487432478247</v>
      </c>
      <c r="F850" s="304">
        <f t="shared" ca="1" si="387"/>
        <v>5.3071182710471074</v>
      </c>
      <c r="G850" s="306">
        <f t="shared" ca="1" si="388"/>
        <v>28.431347610800699</v>
      </c>
      <c r="H850" s="307">
        <f t="shared" ca="1" si="389"/>
        <v>-146.66068722857531</v>
      </c>
      <c r="I850" s="304">
        <f t="shared" ca="1" si="390"/>
        <v>149.39109312580914</v>
      </c>
      <c r="J850" s="306">
        <f t="shared" ca="1" si="391"/>
        <v>1525.1316363090443</v>
      </c>
      <c r="K850" s="307">
        <f t="shared" ca="1" si="392"/>
        <v>672.82037754103237</v>
      </c>
      <c r="L850" s="304">
        <f t="shared" ca="1" si="377"/>
        <v>1666.9474402347425</v>
      </c>
      <c r="M850" s="306">
        <f t="shared" ca="1" si="393"/>
        <v>-1.3793134504468707</v>
      </c>
      <c r="N850" s="304">
        <f t="shared" ca="1" si="394"/>
        <v>-79.028839336232707</v>
      </c>
      <c r="P850" s="310">
        <f t="shared" ca="1" si="395"/>
        <v>23</v>
      </c>
      <c r="Q850" s="304">
        <f t="shared" ca="1" si="396"/>
        <v>0</v>
      </c>
      <c r="R850" s="306">
        <f t="shared" ca="1" si="397"/>
        <v>0</v>
      </c>
      <c r="S850" s="307">
        <f t="shared" ca="1" si="398"/>
        <v>12.409999999999973</v>
      </c>
      <c r="T850" s="304">
        <f t="shared" ca="1" si="378"/>
        <v>121.74209999999975</v>
      </c>
      <c r="U850" s="311">
        <f t="shared" ca="1" si="379"/>
        <v>0</v>
      </c>
      <c r="V850" s="306">
        <f t="shared" ca="1" si="380"/>
        <v>1.1452619722480457</v>
      </c>
      <c r="W850" s="304">
        <f t="shared" ca="1" si="381"/>
        <v>58.365255812081344</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4.9633136534130422</v>
      </c>
      <c r="AH850" s="304">
        <f t="shared" ca="1" si="405"/>
        <v>-4.6650339763349766</v>
      </c>
    </row>
    <row r="851" spans="1:34" x14ac:dyDescent="0.25">
      <c r="A851" s="347">
        <f t="shared" ca="1" si="383"/>
        <v>0.1</v>
      </c>
      <c r="B851" s="304">
        <f t="shared" ca="1" si="384"/>
        <v>39.70000000000023</v>
      </c>
      <c r="D851" s="306">
        <f t="shared" ca="1" si="385"/>
        <v>-0.89506660105616698</v>
      </c>
      <c r="E851" s="307">
        <f t="shared" ca="1" si="386"/>
        <v>-5.1928751059139291</v>
      </c>
      <c r="F851" s="304">
        <f t="shared" ca="1" si="387"/>
        <v>5.2694493152460282</v>
      </c>
      <c r="G851" s="306">
        <f t="shared" ca="1" si="388"/>
        <v>28.341840950695083</v>
      </c>
      <c r="H851" s="307">
        <f t="shared" ca="1" si="389"/>
        <v>-147.17997473916671</v>
      </c>
      <c r="I851" s="304">
        <f t="shared" ca="1" si="390"/>
        <v>149.88397150027834</v>
      </c>
      <c r="J851" s="306">
        <f t="shared" ca="1" si="391"/>
        <v>1527.9702957371192</v>
      </c>
      <c r="K851" s="307">
        <f t="shared" ca="1" si="392"/>
        <v>658.12834444264524</v>
      </c>
      <c r="L851" s="304">
        <f t="shared" ca="1" si="377"/>
        <v>1663.6784973106423</v>
      </c>
      <c r="M851" s="306">
        <f t="shared" ca="1" si="393"/>
        <v>-1.3805590735871518</v>
      </c>
      <c r="N851" s="304">
        <f t="shared" ca="1" si="394"/>
        <v>-79.10020828503464</v>
      </c>
      <c r="P851" s="310">
        <f t="shared" ca="1" si="395"/>
        <v>23</v>
      </c>
      <c r="Q851" s="304">
        <f t="shared" ca="1" si="396"/>
        <v>0</v>
      </c>
      <c r="R851" s="306">
        <f t="shared" ca="1" si="397"/>
        <v>0</v>
      </c>
      <c r="S851" s="307">
        <f t="shared" ca="1" si="398"/>
        <v>12.409999999999973</v>
      </c>
      <c r="T851" s="304">
        <f t="shared" ca="1" si="378"/>
        <v>121.74209999999975</v>
      </c>
      <c r="U851" s="311">
        <f t="shared" ca="1" si="379"/>
        <v>0</v>
      </c>
      <c r="V851" s="306">
        <f t="shared" ca="1" si="380"/>
        <v>1.1469476993752805</v>
      </c>
      <c r="W851" s="304">
        <f t="shared" ca="1" si="381"/>
        <v>58.837490552751447</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4.927620962222373</v>
      </c>
      <c r="AH851" s="304">
        <f t="shared" ca="1" si="405"/>
        <v>-4.7030826601193771</v>
      </c>
    </row>
    <row r="852" spans="1:34" x14ac:dyDescent="0.25">
      <c r="A852" s="347">
        <f t="shared" ca="1" si="383"/>
        <v>0.1</v>
      </c>
      <c r="B852" s="304">
        <f t="shared" ca="1" si="384"/>
        <v>39.800000000000232</v>
      </c>
      <c r="D852" s="306">
        <f t="shared" ca="1" si="385"/>
        <v>-0.8965101780580933</v>
      </c>
      <c r="E852" s="307">
        <f t="shared" ca="1" si="386"/>
        <v>-5.1543975079268813</v>
      </c>
      <c r="F852" s="304">
        <f t="shared" ca="1" si="387"/>
        <v>5.2317821217138434</v>
      </c>
      <c r="G852" s="306">
        <f t="shared" ca="1" si="388"/>
        <v>28.252189932889273</v>
      </c>
      <c r="H852" s="307">
        <f t="shared" ca="1" si="389"/>
        <v>-147.6954144899594</v>
      </c>
      <c r="I852" s="304">
        <f t="shared" ca="1" si="390"/>
        <v>150.37327454493024</v>
      </c>
      <c r="J852" s="306">
        <f t="shared" ca="1" si="391"/>
        <v>1530.7999972812984</v>
      </c>
      <c r="K852" s="307">
        <f t="shared" ca="1" si="392"/>
        <v>643.38457498118896</v>
      </c>
      <c r="L852" s="304">
        <f t="shared" ca="1" si="377"/>
        <v>1660.5096636274502</v>
      </c>
      <c r="M852" s="306">
        <f t="shared" ca="1" si="393"/>
        <v>-1.381792664963873</v>
      </c>
      <c r="N852" s="304">
        <f t="shared" ca="1" si="394"/>
        <v>-79.170887864564506</v>
      </c>
      <c r="P852" s="310">
        <f t="shared" ca="1" si="395"/>
        <v>23</v>
      </c>
      <c r="Q852" s="304">
        <f t="shared" ca="1" si="396"/>
        <v>0</v>
      </c>
      <c r="R852" s="306">
        <f t="shared" ca="1" si="397"/>
        <v>0</v>
      </c>
      <c r="S852" s="307">
        <f t="shared" ca="1" si="398"/>
        <v>12.409999999999973</v>
      </c>
      <c r="T852" s="304">
        <f t="shared" ca="1" si="378"/>
        <v>121.74209999999975</v>
      </c>
      <c r="U852" s="311">
        <f t="shared" ca="1" si="379"/>
        <v>0</v>
      </c>
      <c r="V852" s="306">
        <f t="shared" ca="1" si="380"/>
        <v>1.1486417747788171</v>
      </c>
      <c r="W852" s="304">
        <f t="shared" ca="1" si="381"/>
        <v>59.30974596373774</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4.8918862957520375</v>
      </c>
      <c r="AH852" s="304">
        <f t="shared" ca="1" si="405"/>
        <v>-4.7411354192386437</v>
      </c>
    </row>
    <row r="853" spans="1:34" x14ac:dyDescent="0.25">
      <c r="A853" s="347">
        <f t="shared" ca="1" si="383"/>
        <v>0.1</v>
      </c>
      <c r="B853" s="304">
        <f t="shared" ca="1" si="384"/>
        <v>39.900000000000233</v>
      </c>
      <c r="D853" s="306">
        <f t="shared" ca="1" si="385"/>
        <v>-0.89791606657466327</v>
      </c>
      <c r="E853" s="307">
        <f t="shared" ca="1" si="386"/>
        <v>-5.1159183750016535</v>
      </c>
      <c r="F853" s="304">
        <f t="shared" ca="1" si="387"/>
        <v>5.1941191825267614</v>
      </c>
      <c r="G853" s="306">
        <f t="shared" ca="1" si="388"/>
        <v>28.162398326231806</v>
      </c>
      <c r="H853" s="307">
        <f t="shared" ca="1" si="389"/>
        <v>-148.20700632745957</v>
      </c>
      <c r="I853" s="304">
        <f t="shared" ca="1" si="390"/>
        <v>150.85899841916287</v>
      </c>
      <c r="J853" s="306">
        <f t="shared" ca="1" si="391"/>
        <v>1533.6207266942545</v>
      </c>
      <c r="K853" s="307">
        <f t="shared" ca="1" si="392"/>
        <v>628.58945394031798</v>
      </c>
      <c r="L853" s="304">
        <f t="shared" ca="1" si="377"/>
        <v>1657.4429809049843</v>
      </c>
      <c r="M853" s="306">
        <f t="shared" ca="1" si="393"/>
        <v>-1.3830144065464911</v>
      </c>
      <c r="N853" s="304">
        <f t="shared" ca="1" si="394"/>
        <v>-79.240888500904148</v>
      </c>
      <c r="P853" s="310">
        <f t="shared" ca="1" si="395"/>
        <v>23</v>
      </c>
      <c r="Q853" s="304">
        <f t="shared" ca="1" si="396"/>
        <v>0</v>
      </c>
      <c r="R853" s="306">
        <f t="shared" ca="1" si="397"/>
        <v>0</v>
      </c>
      <c r="S853" s="307">
        <f t="shared" ca="1" si="398"/>
        <v>12.409999999999973</v>
      </c>
      <c r="T853" s="304">
        <f t="shared" ca="1" si="378"/>
        <v>121.74209999999975</v>
      </c>
      <c r="U853" s="311">
        <f t="shared" ca="1" si="379"/>
        <v>0</v>
      </c>
      <c r="V853" s="306">
        <f t="shared" ca="1" si="380"/>
        <v>1.1503441847978799</v>
      </c>
      <c r="W853" s="304">
        <f t="shared" ca="1" si="381"/>
        <v>59.781992280647252</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4.8561128421647979</v>
      </c>
      <c r="AH853" s="304">
        <f t="shared" ca="1" si="405"/>
        <v>-4.7791898439756544</v>
      </c>
    </row>
    <row r="854" spans="1:34" x14ac:dyDescent="0.25">
      <c r="A854" s="347">
        <f t="shared" ca="1" si="383"/>
        <v>0.1</v>
      </c>
      <c r="B854" s="304">
        <f t="shared" ca="1" si="384"/>
        <v>40.000000000000234</v>
      </c>
      <c r="D854" s="306">
        <f t="shared" ca="1" si="385"/>
        <v>-0.89928431657636987</v>
      </c>
      <c r="E854" s="307">
        <f t="shared" ca="1" si="386"/>
        <v>-5.0774401216434919</v>
      </c>
      <c r="F854" s="304">
        <f t="shared" ca="1" si="387"/>
        <v>5.1564629806598345</v>
      </c>
      <c r="G854" s="306">
        <f t="shared" ca="1" si="388"/>
        <v>28.072469894574169</v>
      </c>
      <c r="H854" s="307">
        <f t="shared" ca="1" si="389"/>
        <v>-148.71475033962392</v>
      </c>
      <c r="I854" s="304">
        <f t="shared" ca="1" si="390"/>
        <v>151.3411395971315</v>
      </c>
      <c r="J854" s="306">
        <f t="shared" ca="1" si="391"/>
        <v>1536.4324701052947</v>
      </c>
      <c r="K854" s="307">
        <f t="shared" ca="1" si="392"/>
        <v>613.74336610696378</v>
      </c>
      <c r="L854" s="304">
        <f t="shared" ca="1" si="377"/>
        <v>1654.4804787709536</v>
      </c>
      <c r="M854" s="306">
        <f t="shared" ca="1" si="393"/>
        <v>-1.3842244766473959</v>
      </c>
      <c r="N854" s="304">
        <f t="shared" ca="1" si="394"/>
        <v>-79.310220410600962</v>
      </c>
      <c r="P854" s="310">
        <f t="shared" ca="1" si="395"/>
        <v>23</v>
      </c>
      <c r="Q854" s="304">
        <f t="shared" ca="1" si="396"/>
        <v>0</v>
      </c>
      <c r="R854" s="306">
        <f t="shared" ca="1" si="397"/>
        <v>0</v>
      </c>
      <c r="S854" s="307">
        <f t="shared" ca="1" si="398"/>
        <v>12.409999999999973</v>
      </c>
      <c r="T854" s="304">
        <f t="shared" ca="1" si="378"/>
        <v>121.74209999999975</v>
      </c>
      <c r="U854" s="311">
        <f t="shared" ca="1" si="379"/>
        <v>0</v>
      </c>
      <c r="V854" s="306">
        <f t="shared" ca="1" si="380"/>
        <v>1.1520549157299402</v>
      </c>
      <c r="W854" s="304">
        <f t="shared" ca="1" si="381"/>
        <v>60.254199882608205</v>
      </c>
      <c r="Y854" s="314" t="str">
        <f t="shared" ca="1" si="399"/>
        <v/>
      </c>
      <c r="Z854" s="315" t="str">
        <f t="shared" ca="1" si="400"/>
        <v/>
      </c>
      <c r="AA854" s="316" t="str">
        <f t="shared" ca="1" si="401"/>
        <v/>
      </c>
      <c r="AC854" s="310">
        <f t="shared" ca="1" si="402"/>
        <v>40.000000000000234</v>
      </c>
      <c r="AD854" s="323">
        <f t="shared" ca="1" si="403"/>
        <v>1536.4324701052947</v>
      </c>
      <c r="AE854" s="324" t="e">
        <f t="shared" ca="1" si="382"/>
        <v>#N/A</v>
      </c>
      <c r="AG854" s="306">
        <f t="shared" ca="1" si="404"/>
        <v>4.8203037586347008</v>
      </c>
      <c r="AH854" s="304">
        <f t="shared" ca="1" si="405"/>
        <v>-4.8172435359103449</v>
      </c>
    </row>
    <row r="855" spans="1:34" x14ac:dyDescent="0.25">
      <c r="A855" s="347">
        <f t="shared" ca="1" si="383"/>
        <v>0.1</v>
      </c>
      <c r="B855" s="304">
        <f t="shared" ca="1" si="384"/>
        <v>40.100000000000236</v>
      </c>
      <c r="D855" s="306">
        <f t="shared" ca="1" si="385"/>
        <v>-0.90061498178373423</v>
      </c>
      <c r="E855" s="307">
        <f t="shared" ca="1" si="386"/>
        <v>-5.0389651508726043</v>
      </c>
      <c r="F855" s="304">
        <f t="shared" ca="1" si="387"/>
        <v>5.1188159897696934</v>
      </c>
      <c r="G855" s="306">
        <f t="shared" ca="1" si="388"/>
        <v>27.982408396395797</v>
      </c>
      <c r="H855" s="307">
        <f t="shared" ca="1" si="389"/>
        <v>-149.21864685471118</v>
      </c>
      <c r="I855" s="304">
        <f t="shared" ca="1" si="390"/>
        <v>151.81969486471013</v>
      </c>
      <c r="J855" s="306">
        <f t="shared" ca="1" si="391"/>
        <v>1539.2352140198432</v>
      </c>
      <c r="K855" s="307">
        <f t="shared" ca="1" si="392"/>
        <v>598.846696247247</v>
      </c>
      <c r="L855" s="304">
        <f t="shared" ca="1" si="377"/>
        <v>1651.6241732564206</v>
      </c>
      <c r="M855" s="306">
        <f t="shared" ca="1" si="393"/>
        <v>-1.3854230500111786</v>
      </c>
      <c r="N855" s="304">
        <f t="shared" ca="1" si="394"/>
        <v>-79.378893605782508</v>
      </c>
      <c r="P855" s="310">
        <f t="shared" ca="1" si="395"/>
        <v>23</v>
      </c>
      <c r="Q855" s="304">
        <f t="shared" ca="1" si="396"/>
        <v>0</v>
      </c>
      <c r="R855" s="306">
        <f t="shared" ca="1" si="397"/>
        <v>0</v>
      </c>
      <c r="S855" s="307">
        <f t="shared" ca="1" si="398"/>
        <v>12.409999999999973</v>
      </c>
      <c r="T855" s="304">
        <f t="shared" ca="1" si="378"/>
        <v>121.74209999999975</v>
      </c>
      <c r="U855" s="311">
        <f t="shared" ca="1" si="379"/>
        <v>0</v>
      </c>
      <c r="V855" s="306">
        <f t="shared" ca="1" si="380"/>
        <v>1.1537739538314518</v>
      </c>
      <c r="W855" s="304">
        <f t="shared" ca="1" si="381"/>
        <v>60.726339295559491</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4.7844621716663926</v>
      </c>
      <c r="AH855" s="304">
        <f t="shared" ca="1" si="405"/>
        <v>-4.8552941081876178</v>
      </c>
    </row>
    <row r="856" spans="1:34" x14ac:dyDescent="0.25">
      <c r="A856" s="347">
        <f t="shared" ca="1" si="383"/>
        <v>0.1</v>
      </c>
      <c r="B856" s="304">
        <f t="shared" ca="1" si="384"/>
        <v>40.200000000000237</v>
      </c>
      <c r="D856" s="306">
        <f t="shared" ca="1" si="385"/>
        <v>-0.90190811963275952</v>
      </c>
      <c r="E856" s="307">
        <f t="shared" ca="1" si="386"/>
        <v>-5.0004958539518771</v>
      </c>
      <c r="F856" s="304">
        <f t="shared" ca="1" si="387"/>
        <v>5.0811806739821224</v>
      </c>
      <c r="G856" s="306">
        <f t="shared" ca="1" si="388"/>
        <v>27.892217584432522</v>
      </c>
      <c r="H856" s="307">
        <f t="shared" ca="1" si="389"/>
        <v>-149.71869644010636</v>
      </c>
      <c r="I856" s="304">
        <f t="shared" ca="1" si="390"/>
        <v>152.29466131648229</v>
      </c>
      <c r="J856" s="306">
        <f t="shared" ca="1" si="391"/>
        <v>1542.0289453188846</v>
      </c>
      <c r="K856" s="307">
        <f t="shared" ca="1" si="392"/>
        <v>583.89982908250613</v>
      </c>
      <c r="L856" s="304">
        <f t="shared" ca="1" si="377"/>
        <v>1648.876065265019</v>
      </c>
      <c r="M856" s="306">
        <f t="shared" ca="1" si="393"/>
        <v>-1.386610297901349</v>
      </c>
      <c r="N856" s="304">
        <f t="shared" ca="1" si="394"/>
        <v>-79.446917899125097</v>
      </c>
      <c r="P856" s="310">
        <f t="shared" ca="1" si="395"/>
        <v>23</v>
      </c>
      <c r="Q856" s="304">
        <f t="shared" ca="1" si="396"/>
        <v>0</v>
      </c>
      <c r="R856" s="306">
        <f t="shared" ca="1" si="397"/>
        <v>0</v>
      </c>
      <c r="S856" s="307">
        <f t="shared" ca="1" si="398"/>
        <v>12.409999999999973</v>
      </c>
      <c r="T856" s="304">
        <f t="shared" ca="1" si="378"/>
        <v>121.74209999999975</v>
      </c>
      <c r="U856" s="311">
        <f t="shared" ca="1" si="379"/>
        <v>0</v>
      </c>
      <c r="V856" s="306">
        <f t="shared" ca="1" si="380"/>
        <v>1.1555012853185895</v>
      </c>
      <c r="W856" s="304">
        <f t="shared" ca="1" si="381"/>
        <v>61.198381195504069</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4.7485911773972385</v>
      </c>
      <c r="AH856" s="304">
        <f t="shared" ca="1" si="405"/>
        <v>-4.8933391857824029</v>
      </c>
    </row>
    <row r="857" spans="1:34" x14ac:dyDescent="0.25">
      <c r="A857" s="347">
        <f t="shared" ca="1" si="383"/>
        <v>0.1</v>
      </c>
      <c r="B857" s="304">
        <f t="shared" ca="1" si="384"/>
        <v>40.300000000000239</v>
      </c>
      <c r="D857" s="306">
        <f t="shared" ca="1" si="385"/>
        <v>-0.90316379124026014</v>
      </c>
      <c r="E857" s="307">
        <f t="shared" ca="1" si="386"/>
        <v>-4.9620346101176747</v>
      </c>
      <c r="F857" s="304">
        <f t="shared" ca="1" si="387"/>
        <v>5.04355948768458</v>
      </c>
      <c r="G857" s="306">
        <f t="shared" ca="1" si="388"/>
        <v>27.801901205308496</v>
      </c>
      <c r="H857" s="307">
        <f t="shared" ca="1" si="389"/>
        <v>-150.21489990111812</v>
      </c>
      <c r="I857" s="304">
        <f t="shared" ca="1" si="390"/>
        <v>152.76603635275961</v>
      </c>
      <c r="J857" s="306">
        <f t="shared" ca="1" si="391"/>
        <v>1544.8136512583717</v>
      </c>
      <c r="K857" s="307">
        <f t="shared" ca="1" si="392"/>
        <v>568.90314926544488</v>
      </c>
      <c r="L857" s="304">
        <f t="shared" ca="1" si="377"/>
        <v>1646.2381390182782</v>
      </c>
      <c r="M857" s="306">
        <f t="shared" ca="1" si="393"/>
        <v>-1.3877863881845816</v>
      </c>
      <c r="N857" s="304">
        <f t="shared" ca="1" si="394"/>
        <v>-79.514302908680662</v>
      </c>
      <c r="P857" s="310">
        <f t="shared" ca="1" si="395"/>
        <v>23</v>
      </c>
      <c r="Q857" s="304">
        <f t="shared" ca="1" si="396"/>
        <v>0</v>
      </c>
      <c r="R857" s="306">
        <f t="shared" ca="1" si="397"/>
        <v>0</v>
      </c>
      <c r="S857" s="307">
        <f t="shared" ca="1" si="398"/>
        <v>12.409999999999973</v>
      </c>
      <c r="T857" s="304">
        <f t="shared" ca="1" si="378"/>
        <v>121.74209999999975</v>
      </c>
      <c r="U857" s="311">
        <f t="shared" ca="1" si="379"/>
        <v>0</v>
      </c>
      <c r="V857" s="306">
        <f t="shared" ca="1" si="380"/>
        <v>1.1572368963679953</v>
      </c>
      <c r="W857" s="304">
        <f t="shared" ca="1" si="381"/>
        <v>61.670296411725843</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4.7126938418830804</v>
      </c>
      <c r="AH857" s="304">
        <f t="shared" ca="1" si="405"/>
        <v>-4.9313764057618208</v>
      </c>
    </row>
    <row r="858" spans="1:34" x14ac:dyDescent="0.25">
      <c r="A858" s="347">
        <f t="shared" ca="1" si="383"/>
        <v>0.1</v>
      </c>
      <c r="B858" s="304">
        <f t="shared" ca="1" si="384"/>
        <v>40.40000000000024</v>
      </c>
      <c r="D858" s="306">
        <f t="shared" ca="1" si="385"/>
        <v>-0.90438206136907517</v>
      </c>
      <c r="E858" s="307">
        <f t="shared" ca="1" si="386"/>
        <v>-4.9235837863137615</v>
      </c>
      <c r="F858" s="304">
        <f t="shared" ca="1" si="387"/>
        <v>5.0059548753237806</v>
      </c>
      <c r="G858" s="306">
        <f t="shared" ca="1" si="388"/>
        <v>27.711462999171587</v>
      </c>
      <c r="H858" s="307">
        <f t="shared" ca="1" si="389"/>
        <v>-150.70725827974948</v>
      </c>
      <c r="I858" s="304">
        <f t="shared" ca="1" si="390"/>
        <v>153.23381767662636</v>
      </c>
      <c r="J858" s="306">
        <f t="shared" ca="1" si="391"/>
        <v>1547.5893194685957</v>
      </c>
      <c r="K858" s="307">
        <f t="shared" ca="1" si="392"/>
        <v>553.85704135640151</v>
      </c>
      <c r="L858" s="304">
        <f t="shared" ca="1" si="377"/>
        <v>1643.7123604795754</v>
      </c>
      <c r="M858" s="306">
        <f t="shared" ca="1" si="393"/>
        <v>-1.3889514854125713</v>
      </c>
      <c r="N858" s="304">
        <f t="shared" ca="1" si="394"/>
        <v>-79.581058062566868</v>
      </c>
      <c r="P858" s="310">
        <f t="shared" ca="1" si="395"/>
        <v>23</v>
      </c>
      <c r="Q858" s="304">
        <f t="shared" ca="1" si="396"/>
        <v>0</v>
      </c>
      <c r="R858" s="306">
        <f t="shared" ca="1" si="397"/>
        <v>0</v>
      </c>
      <c r="S858" s="307">
        <f t="shared" ca="1" si="398"/>
        <v>12.409999999999973</v>
      </c>
      <c r="T858" s="304">
        <f t="shared" ca="1" si="378"/>
        <v>121.74209999999975</v>
      </c>
      <c r="U858" s="311">
        <f t="shared" ca="1" si="379"/>
        <v>0</v>
      </c>
      <c r="V858" s="306">
        <f t="shared" ca="1" si="380"/>
        <v>1.1589807731175292</v>
      </c>
      <c r="W858" s="304">
        <f t="shared" ca="1" si="381"/>
        <v>62.142055929969032</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4.6767732013683778</v>
      </c>
      <c r="AH858" s="304">
        <f t="shared" ca="1" si="405"/>
        <v>-4.969403417544398</v>
      </c>
    </row>
    <row r="859" spans="1:34" x14ac:dyDescent="0.25">
      <c r="A859" s="347">
        <f t="shared" ca="1" si="383"/>
        <v>0.1</v>
      </c>
      <c r="B859" s="304">
        <f t="shared" ca="1" si="384"/>
        <v>40.500000000000242</v>
      </c>
      <c r="D859" s="306">
        <f t="shared" ca="1" si="385"/>
        <v>-0.90556299839314836</v>
      </c>
      <c r="E859" s="307">
        <f t="shared" ca="1" si="386"/>
        <v>-4.8851457369284201</v>
      </c>
      <c r="F859" s="304">
        <f t="shared" ca="1" si="387"/>
        <v>4.9683692712084824</v>
      </c>
      <c r="G859" s="306">
        <f t="shared" ca="1" si="388"/>
        <v>27.620906699332274</v>
      </c>
      <c r="H859" s="307">
        <f t="shared" ca="1" si="389"/>
        <v>-151.19577285344232</v>
      </c>
      <c r="I859" s="304">
        <f t="shared" ca="1" si="390"/>
        <v>153.69800329100877</v>
      </c>
      <c r="J859" s="306">
        <f t="shared" ca="1" si="391"/>
        <v>1550.3559379535209</v>
      </c>
      <c r="K859" s="307">
        <f t="shared" ca="1" si="392"/>
        <v>538.76188979974188</v>
      </c>
      <c r="L859" s="304">
        <f t="shared" ca="1" si="377"/>
        <v>1641.3006757594205</v>
      </c>
      <c r="M859" s="306">
        <f t="shared" ca="1" si="393"/>
        <v>-1.3901057509015784</v>
      </c>
      <c r="N859" s="304">
        <f t="shared" ca="1" si="394"/>
        <v>-79.647192603524573</v>
      </c>
      <c r="P859" s="310">
        <f t="shared" ca="1" si="395"/>
        <v>23</v>
      </c>
      <c r="Q859" s="304">
        <f t="shared" ca="1" si="396"/>
        <v>0</v>
      </c>
      <c r="R859" s="306">
        <f t="shared" ca="1" si="397"/>
        <v>0</v>
      </c>
      <c r="S859" s="307">
        <f t="shared" ca="1" si="398"/>
        <v>12.409999999999973</v>
      </c>
      <c r="T859" s="304">
        <f t="shared" ca="1" si="378"/>
        <v>121.74209999999975</v>
      </c>
      <c r="U859" s="311">
        <f t="shared" ca="1" si="379"/>
        <v>0</v>
      </c>
      <c r="V859" s="306">
        <f t="shared" ca="1" si="380"/>
        <v>1.1607329016670227</v>
      </c>
      <c r="W859" s="304">
        <f t="shared" ca="1" si="381"/>
        <v>62.613630895579362</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4.6408322625415535</v>
      </c>
      <c r="AH859" s="304">
        <f t="shared" ca="1" si="405"/>
        <v>-5.0074178831562586</v>
      </c>
    </row>
    <row r="860" spans="1:34" x14ac:dyDescent="0.25">
      <c r="A860" s="347">
        <f t="shared" ca="1" si="383"/>
        <v>0.1</v>
      </c>
      <c r="B860" s="304">
        <f t="shared" ca="1" si="384"/>
        <v>40.600000000000243</v>
      </c>
      <c r="D860" s="306">
        <f t="shared" ca="1" si="385"/>
        <v>-0.90670667426246987</v>
      </c>
      <c r="E860" s="307">
        <f t="shared" ca="1" si="386"/>
        <v>-4.8467228035348073</v>
      </c>
      <c r="F860" s="304">
        <f t="shared" ca="1" si="387"/>
        <v>4.9308050993175963</v>
      </c>
      <c r="G860" s="306">
        <f t="shared" ca="1" si="388"/>
        <v>27.530236031906025</v>
      </c>
      <c r="H860" s="307">
        <f t="shared" ca="1" si="389"/>
        <v>-151.68044513379581</v>
      </c>
      <c r="I860" s="304">
        <f t="shared" ca="1" si="390"/>
        <v>154.15859149576744</v>
      </c>
      <c r="J860" s="306">
        <f t="shared" ca="1" si="391"/>
        <v>1553.1134950900828</v>
      </c>
      <c r="K860" s="307">
        <f t="shared" ca="1" si="392"/>
        <v>523.61807890037994</v>
      </c>
      <c r="L860" s="304">
        <f t="shared" ca="1" si="377"/>
        <v>1639.0050095049305</v>
      </c>
      <c r="M860" s="306">
        <f t="shared" ca="1" si="393"/>
        <v>-1.3912493428097332</v>
      </c>
      <c r="N860" s="304">
        <f t="shared" ca="1" si="394"/>
        <v>-79.712715593347156</v>
      </c>
      <c r="P860" s="310">
        <f t="shared" ca="1" si="395"/>
        <v>23</v>
      </c>
      <c r="Q860" s="304">
        <f t="shared" ca="1" si="396"/>
        <v>0</v>
      </c>
      <c r="R860" s="306">
        <f t="shared" ca="1" si="397"/>
        <v>0</v>
      </c>
      <c r="S860" s="307">
        <f t="shared" ca="1" si="398"/>
        <v>12.409999999999973</v>
      </c>
      <c r="T860" s="304">
        <f t="shared" ca="1" si="378"/>
        <v>121.74209999999975</v>
      </c>
      <c r="U860" s="311">
        <f t="shared" ca="1" si="379"/>
        <v>0</v>
      </c>
      <c r="V860" s="306">
        <f t="shared" ca="1" si="380"/>
        <v>1.162493268079043</v>
      </c>
      <c r="W860" s="304">
        <f t="shared" ca="1" si="381"/>
        <v>63.084992616606542</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4.6048740027762349</v>
      </c>
      <c r="AH860" s="304">
        <f t="shared" ca="1" si="405"/>
        <v>-5.0454174774842464</v>
      </c>
    </row>
    <row r="861" spans="1:34" x14ac:dyDescent="0.25">
      <c r="A861" s="347">
        <f t="shared" ca="1" si="383"/>
        <v>0.1</v>
      </c>
      <c r="B861" s="304">
        <f t="shared" ca="1" si="384"/>
        <v>40.700000000000244</v>
      </c>
      <c r="D861" s="306">
        <f t="shared" ca="1" si="385"/>
        <v>-0.90781316446787719</v>
      </c>
      <c r="E861" s="307">
        <f t="shared" ca="1" si="386"/>
        <v>-4.8083173146345883</v>
      </c>
      <c r="F861" s="304">
        <f t="shared" ca="1" si="387"/>
        <v>4.8932647731137502</v>
      </c>
      <c r="G861" s="306">
        <f t="shared" ca="1" si="388"/>
        <v>27.439454715459238</v>
      </c>
      <c r="H861" s="307">
        <f t="shared" ca="1" si="389"/>
        <v>-152.16127686525928</v>
      </c>
      <c r="I861" s="304">
        <f t="shared" ca="1" si="390"/>
        <v>154.61558088481198</v>
      </c>
      <c r="J861" s="306">
        <f t="shared" ca="1" si="391"/>
        <v>1555.8619796274511</v>
      </c>
      <c r="K861" s="307">
        <f t="shared" ca="1" si="392"/>
        <v>508.4259928004272</v>
      </c>
      <c r="L861" s="304">
        <f t="shared" ca="1" si="377"/>
        <v>1636.8272632765349</v>
      </c>
      <c r="M861" s="306">
        <f t="shared" ca="1" si="393"/>
        <v>-1.3923824162121765</v>
      </c>
      <c r="N861" s="304">
        <f t="shared" ca="1" si="394"/>
        <v>-79.777635917185691</v>
      </c>
      <c r="P861" s="310">
        <f t="shared" ca="1" si="395"/>
        <v>23</v>
      </c>
      <c r="Q861" s="304">
        <f t="shared" ca="1" si="396"/>
        <v>0</v>
      </c>
      <c r="R861" s="306">
        <f t="shared" ca="1" si="397"/>
        <v>0</v>
      </c>
      <c r="S861" s="307">
        <f t="shared" ca="1" si="398"/>
        <v>12.409999999999973</v>
      </c>
      <c r="T861" s="304">
        <f t="shared" ca="1" si="378"/>
        <v>121.74209999999975</v>
      </c>
      <c r="U861" s="311">
        <f t="shared" ca="1" si="379"/>
        <v>0</v>
      </c>
      <c r="V861" s="306">
        <f t="shared" ca="1" si="380"/>
        <v>1.1642618583796562</v>
      </c>
      <c r="W861" s="304">
        <f t="shared" ca="1" si="381"/>
        <v>63.556112566867185</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4.5689013703590957</v>
      </c>
      <c r="AH861" s="304">
        <f t="shared" ca="1" si="405"/>
        <v>-5.0833998885259204</v>
      </c>
    </row>
    <row r="862" spans="1:34" x14ac:dyDescent="0.25">
      <c r="A862" s="347">
        <f t="shared" ca="1" si="383"/>
        <v>0.1</v>
      </c>
      <c r="B862" s="304">
        <f t="shared" ca="1" si="384"/>
        <v>40.800000000000246</v>
      </c>
      <c r="D862" s="306">
        <f t="shared" ca="1" si="385"/>
        <v>-0.90888254800570389</v>
      </c>
      <c r="E862" s="307">
        <f t="shared" ca="1" si="386"/>
        <v>-4.7699315854049189</v>
      </c>
      <c r="F862" s="304">
        <f t="shared" ca="1" si="387"/>
        <v>4.855750695362441</v>
      </c>
      <c r="G862" s="306">
        <f t="shared" ca="1" si="388"/>
        <v>27.348566460658667</v>
      </c>
      <c r="H862" s="307">
        <f t="shared" ca="1" si="389"/>
        <v>-152.63827002379978</v>
      </c>
      <c r="I862" s="304">
        <f t="shared" ca="1" si="390"/>
        <v>155.06897034323623</v>
      </c>
      <c r="J862" s="306">
        <f t="shared" ca="1" si="391"/>
        <v>1558.601380686257</v>
      </c>
      <c r="K862" s="307">
        <f t="shared" ca="1" si="392"/>
        <v>493.18601545597426</v>
      </c>
      <c r="L862" s="304">
        <f t="shared" ca="1" si="377"/>
        <v>1634.7693139151002</v>
      </c>
      <c r="M862" s="306">
        <f t="shared" ca="1" si="393"/>
        <v>-1.3935051231741002</v>
      </c>
      <c r="N862" s="304">
        <f t="shared" ca="1" si="394"/>
        <v>-79.841962287733878</v>
      </c>
      <c r="P862" s="310">
        <f t="shared" ca="1" si="395"/>
        <v>23</v>
      </c>
      <c r="Q862" s="304">
        <f t="shared" ca="1" si="396"/>
        <v>0</v>
      </c>
      <c r="R862" s="306">
        <f t="shared" ca="1" si="397"/>
        <v>0</v>
      </c>
      <c r="S862" s="307">
        <f t="shared" ca="1" si="398"/>
        <v>12.409999999999973</v>
      </c>
      <c r="T862" s="304">
        <f t="shared" ca="1" si="378"/>
        <v>121.74209999999975</v>
      </c>
      <c r="U862" s="311">
        <f t="shared" ca="1" si="379"/>
        <v>0</v>
      </c>
      <c r="V862" s="306">
        <f t="shared" ca="1" si="380"/>
        <v>1.1660386585591997</v>
      </c>
      <c r="W862" s="304">
        <f t="shared" ca="1" si="381"/>
        <v>64.026962388967576</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4.5329172847050101</v>
      </c>
      <c r="AH862" s="304">
        <f t="shared" ca="1" si="405"/>
        <v>-5.1213628176363679</v>
      </c>
    </row>
    <row r="863" spans="1:34" x14ac:dyDescent="0.25">
      <c r="A863" s="347">
        <f t="shared" ca="1" si="383"/>
        <v>0.1</v>
      </c>
      <c r="B863" s="304">
        <f t="shared" ca="1" si="384"/>
        <v>40.900000000000247</v>
      </c>
      <c r="D863" s="306">
        <f t="shared" ca="1" si="385"/>
        <v>-0.9099149073422832</v>
      </c>
      <c r="E863" s="307">
        <f t="shared" ca="1" si="386"/>
        <v>-4.7315679174488174</v>
      </c>
      <c r="F863" s="304">
        <f t="shared" ca="1" si="387"/>
        <v>4.8182652579569192</v>
      </c>
      <c r="G863" s="306">
        <f t="shared" ca="1" si="388"/>
        <v>27.257574969924438</v>
      </c>
      <c r="H863" s="307">
        <f t="shared" ca="1" si="389"/>
        <v>-153.11142681554466</v>
      </c>
      <c r="I863" s="304">
        <f t="shared" ca="1" si="390"/>
        <v>155.51875904447328</v>
      </c>
      <c r="J863" s="306">
        <f t="shared" ca="1" si="391"/>
        <v>1561.3316877577861</v>
      </c>
      <c r="K863" s="307">
        <f t="shared" ca="1" si="392"/>
        <v>477.89853061400703</v>
      </c>
      <c r="L863" s="304">
        <f t="shared" ca="1" si="377"/>
        <v>1632.8330119028108</v>
      </c>
      <c r="M863" s="306">
        <f t="shared" ca="1" si="393"/>
        <v>-1.3946176128217589</v>
      </c>
      <c r="N863" s="304">
        <f t="shared" ca="1" si="394"/>
        <v>-79.905703249296707</v>
      </c>
      <c r="P863" s="310">
        <f t="shared" ca="1" si="395"/>
        <v>23</v>
      </c>
      <c r="Q863" s="304">
        <f t="shared" ca="1" si="396"/>
        <v>0</v>
      </c>
      <c r="R863" s="306">
        <f t="shared" ca="1" si="397"/>
        <v>0</v>
      </c>
      <c r="S863" s="307">
        <f t="shared" ca="1" si="398"/>
        <v>12.409999999999973</v>
      </c>
      <c r="T863" s="304">
        <f t="shared" ca="1" si="378"/>
        <v>121.74209999999975</v>
      </c>
      <c r="U863" s="311">
        <f t="shared" ca="1" si="379"/>
        <v>0</v>
      </c>
      <c r="V863" s="306">
        <f t="shared" ca="1" si="380"/>
        <v>1.1678236545730554</v>
      </c>
      <c r="W863" s="304">
        <f t="shared" ca="1" si="381"/>
        <v>64.497513897285657</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4.4969246365600961</v>
      </c>
      <c r="AH863" s="304">
        <f t="shared" ca="1" si="405"/>
        <v>-5.1593039797717735</v>
      </c>
    </row>
    <row r="864" spans="1:34" x14ac:dyDescent="0.25">
      <c r="A864" s="347">
        <f t="shared" ca="1" si="383"/>
        <v>0.1</v>
      </c>
      <c r="B864" s="304">
        <f t="shared" ca="1" si="384"/>
        <v>41.000000000000249</v>
      </c>
      <c r="D864" s="306">
        <f t="shared" ca="1" si="385"/>
        <v>-0.91091032837829611</v>
      </c>
      <c r="E864" s="307">
        <f t="shared" ca="1" si="386"/>
        <v>-4.6932285985489566</v>
      </c>
      <c r="F864" s="304">
        <f t="shared" ca="1" si="387"/>
        <v>4.7808108417489246</v>
      </c>
      <c r="G864" s="306">
        <f t="shared" ca="1" si="388"/>
        <v>27.166483937086607</v>
      </c>
      <c r="H864" s="307">
        <f t="shared" ca="1" si="389"/>
        <v>-153.58074967539955</v>
      </c>
      <c r="I864" s="304">
        <f t="shared" ca="1" si="390"/>
        <v>155.96494644746852</v>
      </c>
      <c r="J864" s="306">
        <f t="shared" ca="1" si="391"/>
        <v>1564.0528907031367</v>
      </c>
      <c r="K864" s="307">
        <f t="shared" ca="1" si="392"/>
        <v>462.56392178945981</v>
      </c>
      <c r="L864" s="304">
        <f t="shared" ca="1" si="377"/>
        <v>1631.0201797212942</v>
      </c>
      <c r="M864" s="306">
        <f t="shared" ca="1" si="393"/>
        <v>-1.3957200314115155</v>
      </c>
      <c r="N864" s="304">
        <f t="shared" ca="1" si="394"/>
        <v>-79.968867181746518</v>
      </c>
      <c r="P864" s="310">
        <f t="shared" ca="1" si="395"/>
        <v>23</v>
      </c>
      <c r="Q864" s="304">
        <f t="shared" ca="1" si="396"/>
        <v>0</v>
      </c>
      <c r="R864" s="306">
        <f t="shared" ca="1" si="397"/>
        <v>0</v>
      </c>
      <c r="S864" s="307">
        <f t="shared" ca="1" si="398"/>
        <v>12.409999999999973</v>
      </c>
      <c r="T864" s="304">
        <f t="shared" ca="1" si="378"/>
        <v>121.74209999999975</v>
      </c>
      <c r="U864" s="311">
        <f t="shared" ca="1" si="379"/>
        <v>0</v>
      </c>
      <c r="V864" s="306">
        <f t="shared" ca="1" si="380"/>
        <v>1.1696168323424316</v>
      </c>
      <c r="W864" s="304">
        <f t="shared" ca="1" si="381"/>
        <v>64.967739080911485</v>
      </c>
      <c r="Y864" s="314" t="str">
        <f t="shared" ca="1" si="399"/>
        <v/>
      </c>
      <c r="Z864" s="315" t="str">
        <f t="shared" ca="1" si="400"/>
        <v/>
      </c>
      <c r="AA864" s="316" t="str">
        <f t="shared" ca="1" si="401"/>
        <v/>
      </c>
      <c r="AC864" s="310">
        <f t="shared" ca="1" si="402"/>
        <v>41.000000000000249</v>
      </c>
      <c r="AD864" s="323">
        <f t="shared" ca="1" si="403"/>
        <v>1564.0528907031367</v>
      </c>
      <c r="AE864" s="324" t="e">
        <f t="shared" ca="1" si="382"/>
        <v>#N/A</v>
      </c>
      <c r="AG864" s="306">
        <f t="shared" ca="1" si="404"/>
        <v>4.4609262881933613</v>
      </c>
      <c r="AH864" s="304">
        <f t="shared" ca="1" si="405"/>
        <v>-5.1972211037297171</v>
      </c>
    </row>
    <row r="865" spans="1:34" x14ac:dyDescent="0.25">
      <c r="A865" s="347">
        <f t="shared" ca="1" si="383"/>
        <v>0.1</v>
      </c>
      <c r="B865" s="304">
        <f t="shared" ca="1" si="384"/>
        <v>41.10000000000025</v>
      </c>
      <c r="D865" s="306">
        <f t="shared" ca="1" si="385"/>
        <v>-0.91186890041294955</v>
      </c>
      <c r="E865" s="307">
        <f t="shared" ca="1" si="386"/>
        <v>-4.6549159024249569</v>
      </c>
      <c r="F865" s="304">
        <f t="shared" ca="1" si="387"/>
        <v>4.7433898163854371</v>
      </c>
      <c r="G865" s="306">
        <f t="shared" ca="1" si="388"/>
        <v>27.075297047045311</v>
      </c>
      <c r="H865" s="307">
        <f t="shared" ca="1" si="389"/>
        <v>-154.04624126564204</v>
      </c>
      <c r="I865" s="304">
        <f t="shared" ca="1" si="390"/>
        <v>156.40753229387047</v>
      </c>
      <c r="J865" s="306">
        <f t="shared" ca="1" si="391"/>
        <v>1566.7649797523432</v>
      </c>
      <c r="K865" s="307">
        <f t="shared" ca="1" si="392"/>
        <v>447.18257224240773</v>
      </c>
      <c r="L865" s="304">
        <f t="shared" ca="1" si="377"/>
        <v>1629.332610210603</v>
      </c>
      <c r="M865" s="306">
        <f t="shared" ca="1" si="393"/>
        <v>-1.3968125223969809</v>
      </c>
      <c r="N865" s="304">
        <f t="shared" ca="1" si="394"/>
        <v>-80.031462304369782</v>
      </c>
      <c r="P865" s="310">
        <f t="shared" ca="1" si="395"/>
        <v>23</v>
      </c>
      <c r="Q865" s="304">
        <f t="shared" ca="1" si="396"/>
        <v>0</v>
      </c>
      <c r="R865" s="306">
        <f t="shared" ca="1" si="397"/>
        <v>0</v>
      </c>
      <c r="S865" s="307">
        <f t="shared" ca="1" si="398"/>
        <v>12.409999999999973</v>
      </c>
      <c r="T865" s="304">
        <f t="shared" ca="1" si="378"/>
        <v>121.74209999999975</v>
      </c>
      <c r="U865" s="311">
        <f t="shared" ca="1" si="379"/>
        <v>0</v>
      </c>
      <c r="V865" s="306">
        <f t="shared" ca="1" si="380"/>
        <v>1.1714181777551496</v>
      </c>
      <c r="W865" s="304">
        <f t="shared" ca="1" si="381"/>
        <v>65.437610106545776</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4.4249250735774428</v>
      </c>
      <c r="AH865" s="304">
        <f t="shared" ca="1" si="405"/>
        <v>-5.2351119323861095</v>
      </c>
    </row>
    <row r="866" spans="1:34" x14ac:dyDescent="0.25">
      <c r="A866" s="347">
        <f t="shared" ca="1" si="383"/>
        <v>0.1</v>
      </c>
      <c r="B866" s="304">
        <f t="shared" ca="1" si="384"/>
        <v>41.200000000000252</v>
      </c>
      <c r="D866" s="306">
        <f t="shared" ca="1" si="385"/>
        <v>-0.91279071610801232</v>
      </c>
      <c r="E866" s="307">
        <f t="shared" ca="1" si="386"/>
        <v>-4.6166320884941934</v>
      </c>
      <c r="F866" s="304">
        <f t="shared" ca="1" si="387"/>
        <v>4.7060045401515751</v>
      </c>
      <c r="G866" s="306">
        <f t="shared" ca="1" si="388"/>
        <v>26.984017975434508</v>
      </c>
      <c r="H866" s="307">
        <f t="shared" ca="1" si="389"/>
        <v>-154.50790447449145</v>
      </c>
      <c r="I866" s="304">
        <f t="shared" ca="1" si="390"/>
        <v>156.84651660523784</v>
      </c>
      <c r="J866" s="306">
        <f t="shared" ca="1" si="391"/>
        <v>1569.467945503467</v>
      </c>
      <c r="K866" s="307">
        <f t="shared" ca="1" si="392"/>
        <v>431.75486495540105</v>
      </c>
      <c r="L866" s="304">
        <f t="shared" ca="1" si="377"/>
        <v>1627.7720649327812</v>
      </c>
      <c r="M866" s="306">
        <f t="shared" ca="1" si="393"/>
        <v>-1.3978952264943116</v>
      </c>
      <c r="N866" s="304">
        <f t="shared" ca="1" si="394"/>
        <v>-80.09349667960835</v>
      </c>
      <c r="P866" s="310">
        <f t="shared" ca="1" si="395"/>
        <v>23</v>
      </c>
      <c r="Q866" s="304">
        <f t="shared" ca="1" si="396"/>
        <v>0</v>
      </c>
      <c r="R866" s="306">
        <f t="shared" ca="1" si="397"/>
        <v>0</v>
      </c>
      <c r="S866" s="307">
        <f t="shared" ca="1" si="398"/>
        <v>12.409999999999973</v>
      </c>
      <c r="T866" s="304">
        <f t="shared" ca="1" si="378"/>
        <v>121.74209999999975</v>
      </c>
      <c r="U866" s="311">
        <f t="shared" ca="1" si="379"/>
        <v>0</v>
      </c>
      <c r="V866" s="306">
        <f t="shared" ca="1" si="380"/>
        <v>1.1732276766664291</v>
      </c>
      <c r="W866" s="304">
        <f t="shared" ca="1" si="381"/>
        <v>65.907099321355616</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4.3889237985591167</v>
      </c>
      <c r="AH866" s="304">
        <f t="shared" ca="1" si="405"/>
        <v>-5.2729742229287604</v>
      </c>
    </row>
    <row r="867" spans="1:34" x14ac:dyDescent="0.25">
      <c r="A867" s="347">
        <f t="shared" ca="1" si="383"/>
        <v>0.1</v>
      </c>
      <c r="B867" s="304">
        <f t="shared" ca="1" si="384"/>
        <v>41.300000000000253</v>
      </c>
      <c r="D867" s="306">
        <f t="shared" ca="1" si="385"/>
        <v>-0.91367587145167106</v>
      </c>
      <c r="E867" s="307">
        <f t="shared" ca="1" si="386"/>
        <v>-4.5783794016361865</v>
      </c>
      <c r="F867" s="304">
        <f t="shared" ca="1" si="387"/>
        <v>4.6686573598197905</v>
      </c>
      <c r="G867" s="306">
        <f t="shared" ca="1" si="388"/>
        <v>26.89265038828934</v>
      </c>
      <c r="H867" s="307">
        <f t="shared" ca="1" si="389"/>
        <v>-154.96574241465507</v>
      </c>
      <c r="I867" s="304">
        <f t="shared" ca="1" si="390"/>
        <v>157.28189968026194</v>
      </c>
      <c r="J867" s="306">
        <f t="shared" ca="1" si="391"/>
        <v>1572.1617789216532</v>
      </c>
      <c r="K867" s="307">
        <f t="shared" ca="1" si="392"/>
        <v>416.28118261094374</v>
      </c>
      <c r="L867" s="304">
        <f t="shared" ca="1" si="377"/>
        <v>1626.3402725438682</v>
      </c>
      <c r="M867" s="306">
        <f t="shared" ca="1" si="393"/>
        <v>-1.398968281745719</v>
      </c>
      <c r="N867" s="304">
        <f t="shared" ca="1" si="394"/>
        <v>-80.154978216698339</v>
      </c>
      <c r="P867" s="310">
        <f t="shared" ca="1" si="395"/>
        <v>23</v>
      </c>
      <c r="Q867" s="304">
        <f t="shared" ca="1" si="396"/>
        <v>0</v>
      </c>
      <c r="R867" s="306">
        <f t="shared" ca="1" si="397"/>
        <v>0</v>
      </c>
      <c r="S867" s="307">
        <f t="shared" ca="1" si="398"/>
        <v>12.409999999999973</v>
      </c>
      <c r="T867" s="304">
        <f t="shared" ca="1" si="378"/>
        <v>121.74209999999975</v>
      </c>
      <c r="U867" s="311">
        <f t="shared" ca="1" si="379"/>
        <v>0</v>
      </c>
      <c r="V867" s="306">
        <f t="shared" ca="1" si="380"/>
        <v>1.1750453148996853</v>
      </c>
      <c r="W867" s="304">
        <f t="shared" ca="1" si="381"/>
        <v>66.376179255786823</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4.3529252410200527</v>
      </c>
      <c r="AH867" s="304">
        <f t="shared" ca="1" si="405"/>
        <v>-5.3108057470874908</v>
      </c>
    </row>
    <row r="868" spans="1:34" x14ac:dyDescent="0.25">
      <c r="A868" s="347">
        <f t="shared" ca="1" si="383"/>
        <v>0.1</v>
      </c>
      <c r="B868" s="304">
        <f t="shared" ca="1" si="384"/>
        <v>41.400000000000254</v>
      </c>
      <c r="D868" s="306">
        <f t="shared" ca="1" si="385"/>
        <v>-0.9145244657222289</v>
      </c>
      <c r="E868" s="307">
        <f t="shared" ca="1" si="386"/>
        <v>-4.5401600719606146</v>
      </c>
      <c r="F868" s="304">
        <f t="shared" ca="1" si="387"/>
        <v>4.6313506105055291</v>
      </c>
      <c r="G868" s="306">
        <f t="shared" ca="1" si="388"/>
        <v>26.801197941717117</v>
      </c>
      <c r="H868" s="307">
        <f t="shared" ca="1" si="389"/>
        <v>-155.41975842185113</v>
      </c>
      <c r="I868" s="304">
        <f t="shared" ca="1" si="390"/>
        <v>157.71368209200389</v>
      </c>
      <c r="J868" s="306">
        <f t="shared" ca="1" si="391"/>
        <v>1574.8464713381536</v>
      </c>
      <c r="K868" s="307">
        <f t="shared" ca="1" si="392"/>
        <v>400.76190756911842</v>
      </c>
      <c r="L868" s="304">
        <f t="shared" ca="1" si="377"/>
        <v>1625.0389271782608</v>
      </c>
      <c r="M868" s="306">
        <f t="shared" ca="1" si="393"/>
        <v>-1.400031823581249</v>
      </c>
      <c r="N868" s="304">
        <f t="shared" ca="1" si="394"/>
        <v>-80.215914675209817</v>
      </c>
      <c r="P868" s="310">
        <f t="shared" ca="1" si="395"/>
        <v>23</v>
      </c>
      <c r="Q868" s="304">
        <f t="shared" ca="1" si="396"/>
        <v>0</v>
      </c>
      <c r="R868" s="306">
        <f t="shared" ca="1" si="397"/>
        <v>0</v>
      </c>
      <c r="S868" s="307">
        <f t="shared" ca="1" si="398"/>
        <v>12.409999999999973</v>
      </c>
      <c r="T868" s="304">
        <f t="shared" ca="1" si="378"/>
        <v>121.74209999999975</v>
      </c>
      <c r="U868" s="311">
        <f t="shared" ca="1" si="379"/>
        <v>0</v>
      </c>
      <c r="V868" s="306">
        <f t="shared" ca="1" si="380"/>
        <v>1.1768710782473255</v>
      </c>
      <c r="W868" s="304">
        <f t="shared" ca="1" si="381"/>
        <v>66.844822626332856</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4.3169321510283973</v>
      </c>
      <c r="AH868" s="304">
        <f t="shared" ca="1" si="405"/>
        <v>-5.348604291360755</v>
      </c>
    </row>
    <row r="869" spans="1:34" x14ac:dyDescent="0.25">
      <c r="A869" s="347">
        <f t="shared" ca="1" si="383"/>
        <v>0.1</v>
      </c>
      <c r="B869" s="304">
        <f t="shared" ca="1" si="384"/>
        <v>41.500000000000256</v>
      </c>
      <c r="D869" s="306">
        <f t="shared" ca="1" si="385"/>
        <v>-0.91533660145163931</v>
      </c>
      <c r="E869" s="307">
        <f t="shared" ca="1" si="386"/>
        <v>-4.5019763145789637</v>
      </c>
      <c r="F869" s="304">
        <f t="shared" ca="1" si="387"/>
        <v>4.5940866155294708</v>
      </c>
      <c r="G869" s="306">
        <f t="shared" ca="1" si="388"/>
        <v>26.709664281571953</v>
      </c>
      <c r="H869" s="307">
        <f t="shared" ca="1" si="389"/>
        <v>-155.86995605330901</v>
      </c>
      <c r="I869" s="304">
        <f t="shared" ca="1" si="390"/>
        <v>158.14186468514518</v>
      </c>
      <c r="J869" s="306">
        <f t="shared" ca="1" si="391"/>
        <v>1577.522014449318</v>
      </c>
      <c r="K869" s="307">
        <f t="shared" ca="1" si="392"/>
        <v>385.1974218453604</v>
      </c>
      <c r="L869" s="304">
        <f t="shared" ca="1" si="377"/>
        <v>1623.8696868494551</v>
      </c>
      <c r="M869" s="306">
        <f t="shared" ca="1" si="393"/>
        <v>-1.4010859848788852</v>
      </c>
      <c r="N869" s="304">
        <f t="shared" ca="1" si="394"/>
        <v>-80.276313668490403</v>
      </c>
      <c r="P869" s="310">
        <f t="shared" ca="1" si="395"/>
        <v>23</v>
      </c>
      <c r="Q869" s="304">
        <f t="shared" ca="1" si="396"/>
        <v>0</v>
      </c>
      <c r="R869" s="306">
        <f t="shared" ca="1" si="397"/>
        <v>0</v>
      </c>
      <c r="S869" s="307">
        <f t="shared" ca="1" si="398"/>
        <v>12.409999999999973</v>
      </c>
      <c r="T869" s="304">
        <f t="shared" ca="1" si="378"/>
        <v>121.74209999999975</v>
      </c>
      <c r="U869" s="311">
        <f t="shared" ca="1" si="379"/>
        <v>0</v>
      </c>
      <c r="V869" s="306">
        <f t="shared" ca="1" si="380"/>
        <v>1.1787049524715516</v>
      </c>
      <c r="W869" s="304">
        <f t="shared" ca="1" si="381"/>
        <v>67.313002338258769</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4.280947250981626</v>
      </c>
      <c r="AH869" s="304">
        <f t="shared" ca="1" si="405"/>
        <v>-5.3863676572387593</v>
      </c>
    </row>
    <row r="870" spans="1:34" x14ac:dyDescent="0.25">
      <c r="A870" s="347">
        <f t="shared" ca="1" si="383"/>
        <v>0.1</v>
      </c>
      <c r="B870" s="304">
        <f t="shared" ca="1" si="384"/>
        <v>41.600000000000257</v>
      </c>
      <c r="D870" s="306">
        <f t="shared" ca="1" si="385"/>
        <v>-0.91611238438886522</v>
      </c>
      <c r="E870" s="307">
        <f t="shared" ca="1" si="386"/>
        <v>-4.463830329379916</v>
      </c>
      <c r="F870" s="304">
        <f t="shared" ca="1" si="387"/>
        <v>4.556867686286564</v>
      </c>
      <c r="G870" s="306">
        <f t="shared" ca="1" si="388"/>
        <v>26.618053043133067</v>
      </c>
      <c r="H870" s="307">
        <f t="shared" ca="1" si="389"/>
        <v>-156.31633908624701</v>
      </c>
      <c r="I870" s="304">
        <f t="shared" ca="1" si="390"/>
        <v>158.56644857325145</v>
      </c>
      <c r="J870" s="306">
        <f t="shared" ca="1" si="391"/>
        <v>1580.1884003155533</v>
      </c>
      <c r="K870" s="307">
        <f t="shared" ca="1" si="392"/>
        <v>369.58810708838257</v>
      </c>
      <c r="L870" s="304">
        <f t="shared" ca="1" si="377"/>
        <v>1622.8341718712361</v>
      </c>
      <c r="M870" s="306">
        <f t="shared" ca="1" si="393"/>
        <v>-1.4021308960230259</v>
      </c>
      <c r="N870" s="304">
        <f t="shared" ca="1" si="394"/>
        <v>-80.336182667015848</v>
      </c>
      <c r="P870" s="310">
        <f t="shared" ca="1" si="395"/>
        <v>23</v>
      </c>
      <c r="Q870" s="304">
        <f t="shared" ca="1" si="396"/>
        <v>0</v>
      </c>
      <c r="R870" s="306">
        <f t="shared" ca="1" si="397"/>
        <v>0</v>
      </c>
      <c r="S870" s="307">
        <f t="shared" ca="1" si="398"/>
        <v>12.409999999999973</v>
      </c>
      <c r="T870" s="304">
        <f t="shared" ca="1" si="378"/>
        <v>121.74209999999975</v>
      </c>
      <c r="U870" s="311">
        <f t="shared" ca="1" si="379"/>
        <v>0</v>
      </c>
      <c r="V870" s="306">
        <f t="shared" ca="1" si="380"/>
        <v>1.1805469233051678</v>
      </c>
      <c r="W870" s="304">
        <f t="shared" ca="1" si="381"/>
        <v>67.780691488280752</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4.2449732357412682</v>
      </c>
      <c r="AH870" s="304">
        <f t="shared" ca="1" si="405"/>
        <v>-5.4240936614229582</v>
      </c>
    </row>
    <row r="871" spans="1:34" x14ac:dyDescent="0.25">
      <c r="A871" s="347">
        <f t="shared" ca="1" si="383"/>
        <v>0.1</v>
      </c>
      <c r="B871" s="304">
        <f t="shared" ca="1" si="384"/>
        <v>41.700000000000259</v>
      </c>
      <c r="D871" s="306">
        <f t="shared" ca="1" si="385"/>
        <v>-0.91685192346308464</v>
      </c>
      <c r="E871" s="307">
        <f t="shared" ca="1" si="386"/>
        <v>-4.4257243008084437</v>
      </c>
      <c r="F871" s="304">
        <f t="shared" ca="1" si="387"/>
        <v>4.5196961221219665</v>
      </c>
      <c r="G871" s="306">
        <f t="shared" ca="1" si="388"/>
        <v>26.526367850786759</v>
      </c>
      <c r="H871" s="307">
        <f t="shared" ca="1" si="389"/>
        <v>-156.75891151632786</v>
      </c>
      <c r="I871" s="304">
        <f t="shared" ca="1" si="390"/>
        <v>158.98743513604828</v>
      </c>
      <c r="J871" s="306">
        <f t="shared" ca="1" si="391"/>
        <v>1582.8456213602492</v>
      </c>
      <c r="K871" s="307">
        <f t="shared" ca="1" si="392"/>
        <v>353.93434455825383</v>
      </c>
      <c r="L871" s="304">
        <f t="shared" ca="1" si="377"/>
        <v>1621.9339633034369</v>
      </c>
      <c r="M871" s="306">
        <f t="shared" ca="1" si="393"/>
        <v>-1.4031666849613875</v>
      </c>
      <c r="N871" s="304">
        <f t="shared" ca="1" si="394"/>
        <v>-80.395529001650303</v>
      </c>
      <c r="P871" s="310">
        <f t="shared" ca="1" si="395"/>
        <v>23</v>
      </c>
      <c r="Q871" s="304">
        <f t="shared" ca="1" si="396"/>
        <v>0</v>
      </c>
      <c r="R871" s="306">
        <f t="shared" ca="1" si="397"/>
        <v>0</v>
      </c>
      <c r="S871" s="307">
        <f t="shared" ca="1" si="398"/>
        <v>12.409999999999973</v>
      </c>
      <c r="T871" s="304">
        <f t="shared" ca="1" si="378"/>
        <v>121.74209999999975</v>
      </c>
      <c r="U871" s="311">
        <f t="shared" ca="1" si="379"/>
        <v>0</v>
      </c>
      <c r="V871" s="306">
        <f t="shared" ca="1" si="380"/>
        <v>1.1823969764523903</v>
      </c>
      <c r="W871" s="304">
        <f t="shared" ca="1" si="381"/>
        <v>68.247863367199884</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4.2090127727598121</v>
      </c>
      <c r="AH871" s="304">
        <f t="shared" ca="1" si="405"/>
        <v>-5.4617801360419742</v>
      </c>
    </row>
    <row r="872" spans="1:34" x14ac:dyDescent="0.25">
      <c r="A872" s="347">
        <f t="shared" ca="1" si="383"/>
        <v>0.1</v>
      </c>
      <c r="B872" s="304">
        <f t="shared" ca="1" si="384"/>
        <v>41.80000000000026</v>
      </c>
      <c r="D872" s="306">
        <f t="shared" ca="1" si="385"/>
        <v>-0.9175553307467138</v>
      </c>
      <c r="E872" s="307">
        <f t="shared" ca="1" si="386"/>
        <v>-4.3876603976487116</v>
      </c>
      <c r="F872" s="304">
        <f t="shared" ca="1" si="387"/>
        <v>4.4825742102141</v>
      </c>
      <c r="G872" s="306">
        <f t="shared" ca="1" si="388"/>
        <v>26.434612317712087</v>
      </c>
      <c r="H872" s="307">
        <f t="shared" ca="1" si="389"/>
        <v>-157.19767755609271</v>
      </c>
      <c r="I872" s="304">
        <f t="shared" ca="1" si="390"/>
        <v>159.40482601670826</v>
      </c>
      <c r="J872" s="306">
        <f t="shared" ca="1" si="391"/>
        <v>1585.4936703686742</v>
      </c>
      <c r="K872" s="307">
        <f t="shared" ca="1" si="392"/>
        <v>338.23651510463282</v>
      </c>
      <c r="L872" s="304">
        <f t="shared" ca="1" si="377"/>
        <v>1621.1706014264066</v>
      </c>
      <c r="M872" s="306">
        <f t="shared" ca="1" si="393"/>
        <v>-1.404193477260381</v>
      </c>
      <c r="N872" s="304">
        <f t="shared" ca="1" si="394"/>
        <v>-80.454359866819161</v>
      </c>
      <c r="P872" s="310">
        <f t="shared" ca="1" si="395"/>
        <v>23</v>
      </c>
      <c r="Q872" s="304">
        <f t="shared" ca="1" si="396"/>
        <v>0</v>
      </c>
      <c r="R872" s="306">
        <f t="shared" ca="1" si="397"/>
        <v>0</v>
      </c>
      <c r="S872" s="307">
        <f t="shared" ca="1" si="398"/>
        <v>12.409999999999973</v>
      </c>
      <c r="T872" s="304">
        <f t="shared" ca="1" si="378"/>
        <v>121.74209999999975</v>
      </c>
      <c r="U872" s="311">
        <f t="shared" ca="1" si="379"/>
        <v>0</v>
      </c>
      <c r="V872" s="306">
        <f t="shared" ca="1" si="380"/>
        <v>1.1842550975896602</v>
      </c>
      <c r="W872" s="304">
        <f t="shared" ca="1" si="381"/>
        <v>68.714491462489704</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4.1730685022004019</v>
      </c>
      <c r="AH872" s="304">
        <f t="shared" ca="1" si="405"/>
        <v>-5.4994249288638217</v>
      </c>
    </row>
    <row r="873" spans="1:34" x14ac:dyDescent="0.25">
      <c r="A873" s="347">
        <f t="shared" ca="1" si="383"/>
        <v>0.1</v>
      </c>
      <c r="B873" s="304">
        <f t="shared" ca="1" si="384"/>
        <v>41.900000000000261</v>
      </c>
      <c r="D873" s="306">
        <f t="shared" ca="1" si="385"/>
        <v>-0.91822272141827721</v>
      </c>
      <c r="E873" s="307">
        <f t="shared" ca="1" si="386"/>
        <v>-4.3496407728108091</v>
      </c>
      <c r="F873" s="304">
        <f t="shared" ca="1" si="387"/>
        <v>4.4455042254649806</v>
      </c>
      <c r="G873" s="306">
        <f t="shared" ca="1" si="388"/>
        <v>26.342790045570261</v>
      </c>
      <c r="H873" s="307">
        <f t="shared" ca="1" si="389"/>
        <v>-157.63264163337379</v>
      </c>
      <c r="I873" s="304">
        <f t="shared" ca="1" si="390"/>
        <v>159.81862311914918</v>
      </c>
      <c r="J873" s="306">
        <f t="shared" ca="1" si="391"/>
        <v>1588.1325404868383</v>
      </c>
      <c r="K873" s="307">
        <f t="shared" ca="1" si="392"/>
        <v>322.49499914515951</v>
      </c>
      <c r="L873" s="304">
        <f t="shared" ca="1" si="377"/>
        <v>1620.5455842483466</v>
      </c>
      <c r="M873" s="306">
        <f t="shared" ca="1" si="393"/>
        <v>-1.4052113961590105</v>
      </c>
      <c r="N873" s="304">
        <f t="shared" ca="1" si="394"/>
        <v>-80.512682323597247</v>
      </c>
      <c r="P873" s="310">
        <f t="shared" ca="1" si="395"/>
        <v>23</v>
      </c>
      <c r="Q873" s="304">
        <f t="shared" ca="1" si="396"/>
        <v>0</v>
      </c>
      <c r="R873" s="306">
        <f t="shared" ca="1" si="397"/>
        <v>0</v>
      </c>
      <c r="S873" s="307">
        <f t="shared" ca="1" si="398"/>
        <v>12.409999999999973</v>
      </c>
      <c r="T873" s="304">
        <f t="shared" ca="1" si="378"/>
        <v>121.74209999999975</v>
      </c>
      <c r="U873" s="311">
        <f t="shared" ca="1" si="379"/>
        <v>0</v>
      </c>
      <c r="V873" s="306">
        <f t="shared" ca="1" si="380"/>
        <v>1.1861212723664649</v>
      </c>
      <c r="W873" s="304">
        <f t="shared" ca="1" si="381"/>
        <v>69.180549460838023</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4.1371430370496824</v>
      </c>
      <c r="AH873" s="304">
        <f t="shared" ca="1" si="405"/>
        <v>-5.5370259035044196</v>
      </c>
    </row>
    <row r="874" spans="1:34" x14ac:dyDescent="0.25">
      <c r="A874" s="347">
        <f t="shared" ca="1" si="383"/>
        <v>0.1</v>
      </c>
      <c r="B874" s="304">
        <f t="shared" ca="1" si="384"/>
        <v>42.000000000000263</v>
      </c>
      <c r="D874" s="306">
        <f t="shared" ca="1" si="385"/>
        <v>-0.91885421372510223</v>
      </c>
      <c r="E874" s="307">
        <f t="shared" ca="1" si="386"/>
        <v>-4.3116675631212926</v>
      </c>
      <c r="F874" s="304">
        <f t="shared" ca="1" si="387"/>
        <v>4.408488430397961</v>
      </c>
      <c r="G874" s="306">
        <f t="shared" ca="1" si="388"/>
        <v>26.250904624197752</v>
      </c>
      <c r="H874" s="307">
        <f t="shared" ca="1" si="389"/>
        <v>-158.06380838968593</v>
      </c>
      <c r="I874" s="304">
        <f t="shared" ca="1" si="390"/>
        <v>160.22882860534202</v>
      </c>
      <c r="J874" s="306">
        <f t="shared" ca="1" si="391"/>
        <v>1590.7622252203266</v>
      </c>
      <c r="K874" s="307">
        <f t="shared" ca="1" si="392"/>
        <v>306.71017664400654</v>
      </c>
      <c r="L874" s="304">
        <f t="shared" ca="1" si="377"/>
        <v>1620.060366049649</v>
      </c>
      <c r="M874" s="306">
        <f t="shared" ca="1" si="393"/>
        <v>-1.4062205626213351</v>
      </c>
      <c r="N874" s="304">
        <f t="shared" ca="1" si="394"/>
        <v>-80.570503302714584</v>
      </c>
      <c r="P874" s="310">
        <f t="shared" ca="1" si="395"/>
        <v>23</v>
      </c>
      <c r="Q874" s="304">
        <f t="shared" ca="1" si="396"/>
        <v>0</v>
      </c>
      <c r="R874" s="306">
        <f t="shared" ca="1" si="397"/>
        <v>0</v>
      </c>
      <c r="S874" s="307">
        <f t="shared" ca="1" si="398"/>
        <v>12.409999999999973</v>
      </c>
      <c r="T874" s="304">
        <f t="shared" ca="1" si="378"/>
        <v>121.74209999999975</v>
      </c>
      <c r="U874" s="311">
        <f t="shared" ca="1" si="379"/>
        <v>0</v>
      </c>
      <c r="V874" s="306">
        <f t="shared" ca="1" si="380"/>
        <v>1.1879954864061588</v>
      </c>
      <c r="W874" s="304">
        <f t="shared" ca="1" si="381"/>
        <v>69.646011250640896</v>
      </c>
      <c r="Y874" s="314" t="str">
        <f t="shared" ca="1" si="399"/>
        <v/>
      </c>
      <c r="Z874" s="315" t="str">
        <f t="shared" ca="1" si="400"/>
        <v/>
      </c>
      <c r="AA874" s="316" t="str">
        <f t="shared" ca="1" si="401"/>
        <v/>
      </c>
      <c r="AC874" s="310">
        <f t="shared" ca="1" si="402"/>
        <v>42.000000000000263</v>
      </c>
      <c r="AD874" s="323">
        <f t="shared" ca="1" si="403"/>
        <v>1590.7622252203266</v>
      </c>
      <c r="AE874" s="324" t="e">
        <f t="shared" ca="1" si="382"/>
        <v>#N/A</v>
      </c>
      <c r="AG874" s="306">
        <f t="shared" ca="1" si="404"/>
        <v>4.1012389632241657</v>
      </c>
      <c r="AH874" s="304">
        <f t="shared" ca="1" si="405"/>
        <v>-5.5745809396324066</v>
      </c>
    </row>
    <row r="875" spans="1:34" x14ac:dyDescent="0.25">
      <c r="A875" s="347">
        <f t="shared" ca="1" si="383"/>
        <v>0.1</v>
      </c>
      <c r="B875" s="304">
        <f t="shared" ca="1" si="384"/>
        <v>42.100000000000264</v>
      </c>
      <c r="D875" s="306">
        <f t="shared" ca="1" si="385"/>
        <v>-0.91944992894585642</v>
      </c>
      <c r="E875" s="307">
        <f t="shared" ca="1" si="386"/>
        <v>-4.2737428891176856</v>
      </c>
      <c r="F875" s="304">
        <f t="shared" ca="1" si="387"/>
        <v>4.3715290750631555</v>
      </c>
      <c r="G875" s="306">
        <f t="shared" ca="1" si="388"/>
        <v>26.158959631303166</v>
      </c>
      <c r="H875" s="307">
        <f t="shared" ca="1" si="389"/>
        <v>-158.49118267859771</v>
      </c>
      <c r="I875" s="304">
        <f t="shared" ca="1" si="390"/>
        <v>160.63544489262878</v>
      </c>
      <c r="J875" s="306">
        <f t="shared" ca="1" si="391"/>
        <v>1593.3827184331017</v>
      </c>
      <c r="K875" s="307">
        <f t="shared" ca="1" si="392"/>
        <v>290.88242709059233</v>
      </c>
      <c r="L875" s="304">
        <f t="shared" ca="1" si="377"/>
        <v>1619.7163559683452</v>
      </c>
      <c r="M875" s="306">
        <f t="shared" ca="1" si="393"/>
        <v>-1.4072210953875424</v>
      </c>
      <c r="N875" s="304">
        <f t="shared" ca="1" si="394"/>
        <v>-80.627829607482809</v>
      </c>
      <c r="P875" s="310">
        <f t="shared" ca="1" si="395"/>
        <v>23</v>
      </c>
      <c r="Q875" s="304">
        <f t="shared" ca="1" si="396"/>
        <v>0</v>
      </c>
      <c r="R875" s="306">
        <f t="shared" ca="1" si="397"/>
        <v>0</v>
      </c>
      <c r="S875" s="307">
        <f t="shared" ca="1" si="398"/>
        <v>12.409999999999973</v>
      </c>
      <c r="T875" s="304">
        <f t="shared" ca="1" si="378"/>
        <v>121.74209999999975</v>
      </c>
      <c r="U875" s="311">
        <f t="shared" ca="1" si="379"/>
        <v>0</v>
      </c>
      <c r="V875" s="306">
        <f t="shared" ca="1" si="380"/>
        <v>1.1898777253067876</v>
      </c>
      <c r="W875" s="304">
        <f t="shared" ca="1" si="381"/>
        <v>70.110850924449849</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4.0653588396706288</v>
      </c>
      <c r="AH875" s="304">
        <f t="shared" ca="1" si="405"/>
        <v>-5.6120879331701081</v>
      </c>
    </row>
    <row r="876" spans="1:34" x14ac:dyDescent="0.25">
      <c r="A876" s="347">
        <f t="shared" ca="1" si="383"/>
        <v>0.1</v>
      </c>
      <c r="B876" s="304">
        <f t="shared" ca="1" si="384"/>
        <v>42.200000000000266</v>
      </c>
      <c r="D876" s="306">
        <f t="shared" ca="1" si="385"/>
        <v>-0.92000999135292105</v>
      </c>
      <c r="E876" s="307">
        <f t="shared" ca="1" si="386"/>
        <v>-4.2358688548468546</v>
      </c>
      <c r="F876" s="304">
        <f t="shared" ca="1" si="387"/>
        <v>4.3346283969506318</v>
      </c>
      <c r="G876" s="306">
        <f t="shared" ca="1" si="388"/>
        <v>26.066958632167875</v>
      </c>
      <c r="H876" s="307">
        <f t="shared" ca="1" si="389"/>
        <v>-158.91476956408241</v>
      </c>
      <c r="I876" s="304">
        <f t="shared" ca="1" si="390"/>
        <v>161.03847465104903</v>
      </c>
      <c r="J876" s="306">
        <f t="shared" ca="1" si="391"/>
        <v>1595.9940143462752</v>
      </c>
      <c r="K876" s="307">
        <f t="shared" ca="1" si="392"/>
        <v>275.01212947845835</v>
      </c>
      <c r="L876" s="304">
        <f t="shared" ca="1" si="377"/>
        <v>1619.5149166307222</v>
      </c>
      <c r="M876" s="306">
        <f t="shared" ca="1" si="393"/>
        <v>-1.4082131110236729</v>
      </c>
      <c r="N876" s="304">
        <f t="shared" ca="1" si="394"/>
        <v>-80.684667916644074</v>
      </c>
      <c r="P876" s="310">
        <f t="shared" ca="1" si="395"/>
        <v>23</v>
      </c>
      <c r="Q876" s="304">
        <f t="shared" ca="1" si="396"/>
        <v>0</v>
      </c>
      <c r="R876" s="306">
        <f t="shared" ca="1" si="397"/>
        <v>0</v>
      </c>
      <c r="S876" s="307">
        <f t="shared" ca="1" si="398"/>
        <v>12.409999999999973</v>
      </c>
      <c r="T876" s="304">
        <f t="shared" ca="1" si="378"/>
        <v>121.74209999999975</v>
      </c>
      <c r="U876" s="311">
        <f t="shared" ca="1" si="379"/>
        <v>0</v>
      </c>
      <c r="V876" s="306">
        <f t="shared" ca="1" si="380"/>
        <v>1.1917679746419194</v>
      </c>
      <c r="W876" s="304">
        <f t="shared" ca="1" si="381"/>
        <v>70.575042781370783</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4.0295051984608481</v>
      </c>
      <c r="AH876" s="304">
        <f t="shared" ca="1" si="405"/>
        <v>-5.6495447964907335</v>
      </c>
    </row>
    <row r="877" spans="1:34" x14ac:dyDescent="0.25">
      <c r="A877" s="347">
        <f t="shared" ca="1" si="383"/>
        <v>0.1</v>
      </c>
      <c r="B877" s="304">
        <f t="shared" ca="1" si="384"/>
        <v>42.300000000000267</v>
      </c>
      <c r="D877" s="306">
        <f t="shared" ca="1" si="385"/>
        <v>-0.92053452817459613</v>
      </c>
      <c r="E877" s="307">
        <f t="shared" ca="1" si="386"/>
        <v>-4.1980475476673869</v>
      </c>
      <c r="F877" s="304">
        <f t="shared" ca="1" si="387"/>
        <v>4.2977886209116649</v>
      </c>
      <c r="G877" s="306">
        <f t="shared" ca="1" si="388"/>
        <v>25.974905179350415</v>
      </c>
      <c r="H877" s="307">
        <f t="shared" ca="1" si="389"/>
        <v>-159.33457431884915</v>
      </c>
      <c r="I877" s="304">
        <f t="shared" ca="1" si="390"/>
        <v>161.4379208006753</v>
      </c>
      <c r="J877" s="306">
        <f t="shared" ca="1" si="391"/>
        <v>1598.5961075368512</v>
      </c>
      <c r="K877" s="307">
        <f t="shared" ca="1" si="392"/>
        <v>259.09966228431176</v>
      </c>
      <c r="L877" s="304">
        <f t="shared" ca="1" si="377"/>
        <v>1619.4573628310861</v>
      </c>
      <c r="M877" s="306">
        <f t="shared" ca="1" si="393"/>
        <v>-1.4091967239700354</v>
      </c>
      <c r="N877" s="304">
        <f t="shared" ca="1" si="394"/>
        <v>-80.741024787145079</v>
      </c>
      <c r="P877" s="310">
        <f t="shared" ca="1" si="395"/>
        <v>23</v>
      </c>
      <c r="Q877" s="304">
        <f t="shared" ca="1" si="396"/>
        <v>0</v>
      </c>
      <c r="R877" s="306">
        <f t="shared" ca="1" si="397"/>
        <v>0</v>
      </c>
      <c r="S877" s="307">
        <f t="shared" ca="1" si="398"/>
        <v>12.409999999999973</v>
      </c>
      <c r="T877" s="304">
        <f t="shared" ca="1" si="378"/>
        <v>121.74209999999975</v>
      </c>
      <c r="U877" s="311">
        <f t="shared" ca="1" si="379"/>
        <v>0</v>
      </c>
      <c r="V877" s="306">
        <f t="shared" ca="1" si="380"/>
        <v>1.1936662199614754</v>
      </c>
      <c r="W877" s="304">
        <f t="shared" ca="1" si="381"/>
        <v>71.038561329414918</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3.99368054488105</v>
      </c>
      <c r="AH877" s="304">
        <f t="shared" ca="1" si="405"/>
        <v>-5.6869494586116787</v>
      </c>
    </row>
    <row r="878" spans="1:34" x14ac:dyDescent="0.25">
      <c r="A878" s="347">
        <f t="shared" ca="1" si="383"/>
        <v>0.1</v>
      </c>
      <c r="B878" s="304">
        <f t="shared" ca="1" si="384"/>
        <v>42.400000000000269</v>
      </c>
      <c r="D878" s="306">
        <f t="shared" ca="1" si="385"/>
        <v>-0.92102366955716486</v>
      </c>
      <c r="E878" s="307">
        <f t="shared" ca="1" si="386"/>
        <v>-4.1602810380559294</v>
      </c>
      <c r="F878" s="304">
        <f t="shared" ca="1" si="387"/>
        <v>4.2610119590881537</v>
      </c>
      <c r="G878" s="306">
        <f t="shared" ca="1" si="388"/>
        <v>25.882802812394697</v>
      </c>
      <c r="H878" s="307">
        <f t="shared" ca="1" si="389"/>
        <v>-159.75060242265474</v>
      </c>
      <c r="I878" s="304">
        <f t="shared" ca="1" si="390"/>
        <v>161.83378650895617</v>
      </c>
      <c r="J878" s="306">
        <f t="shared" ca="1" si="391"/>
        <v>1601.1889929364384</v>
      </c>
      <c r="K878" s="307">
        <f t="shared" ca="1" si="392"/>
        <v>243.14540344723656</v>
      </c>
      <c r="L878" s="304">
        <f t="shared" ca="1" si="377"/>
        <v>1619.5449602645569</v>
      </c>
      <c r="M878" s="306">
        <f t="shared" ca="1" si="393"/>
        <v>-1.4101720465883565</v>
      </c>
      <c r="N878" s="304">
        <f t="shared" ca="1" si="394"/>
        <v>-80.79690665683853</v>
      </c>
      <c r="P878" s="310">
        <f t="shared" ca="1" si="395"/>
        <v>23</v>
      </c>
      <c r="Q878" s="304">
        <f t="shared" ca="1" si="396"/>
        <v>0</v>
      </c>
      <c r="R878" s="306">
        <f t="shared" ca="1" si="397"/>
        <v>0</v>
      </c>
      <c r="S878" s="307">
        <f t="shared" ca="1" si="398"/>
        <v>12.409999999999973</v>
      </c>
      <c r="T878" s="304">
        <f t="shared" ca="1" si="378"/>
        <v>121.74209999999975</v>
      </c>
      <c r="U878" s="311">
        <f t="shared" ca="1" si="379"/>
        <v>0</v>
      </c>
      <c r="V878" s="306">
        <f t="shared" ca="1" si="380"/>
        <v>1.1955724467925679</v>
      </c>
      <c r="W878" s="304">
        <f t="shared" ca="1" si="381"/>
        <v>71.501381287800868</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3.957887357516463</v>
      </c>
      <c r="AH878" s="304">
        <f t="shared" ca="1" si="405"/>
        <v>-5.7242998653839701</v>
      </c>
    </row>
    <row r="879" spans="1:34" x14ac:dyDescent="0.25">
      <c r="A879" s="347">
        <f t="shared" ca="1" si="383"/>
        <v>0.1</v>
      </c>
      <c r="B879" s="304">
        <f t="shared" ca="1" si="384"/>
        <v>42.50000000000027</v>
      </c>
      <c r="D879" s="306">
        <f t="shared" ca="1" si="385"/>
        <v>-0.92147754852678398</v>
      </c>
      <c r="E879" s="307">
        <f t="shared" ca="1" si="386"/>
        <v>-4.1225713794175771</v>
      </c>
      <c r="F879" s="304">
        <f t="shared" ca="1" si="387"/>
        <v>4.2243006108504959</v>
      </c>
      <c r="G879" s="306">
        <f t="shared" ca="1" si="388"/>
        <v>25.790655057542018</v>
      </c>
      <c r="H879" s="307">
        <f t="shared" ca="1" si="389"/>
        <v>-160.1628595605965</v>
      </c>
      <c r="I879" s="304">
        <f t="shared" ca="1" si="390"/>
        <v>162.22607518806734</v>
      </c>
      <c r="J879" s="306">
        <f t="shared" ca="1" si="391"/>
        <v>1603.7726658299352</v>
      </c>
      <c r="K879" s="307">
        <f t="shared" ca="1" si="392"/>
        <v>227.149730348074</v>
      </c>
      <c r="L879" s="304">
        <f t="shared" ca="1" si="377"/>
        <v>1619.7789243166674</v>
      </c>
      <c r="M879" s="306">
        <f t="shared" ca="1" si="393"/>
        <v>-1.4111391892076979</v>
      </c>
      <c r="N879" s="304">
        <f t="shared" ca="1" si="394"/>
        <v>-80.852319847114018</v>
      </c>
      <c r="P879" s="310">
        <f t="shared" ca="1" si="395"/>
        <v>23</v>
      </c>
      <c r="Q879" s="304">
        <f t="shared" ca="1" si="396"/>
        <v>0</v>
      </c>
      <c r="R879" s="306">
        <f t="shared" ca="1" si="397"/>
        <v>0</v>
      </c>
      <c r="S879" s="307">
        <f t="shared" ca="1" si="398"/>
        <v>12.409999999999973</v>
      </c>
      <c r="T879" s="304">
        <f t="shared" ca="1" si="378"/>
        <v>121.74209999999975</v>
      </c>
      <c r="U879" s="311">
        <f t="shared" ca="1" si="379"/>
        <v>0</v>
      </c>
      <c r="V879" s="306">
        <f t="shared" ca="1" si="380"/>
        <v>1.1974866406403368</v>
      </c>
      <c r="W879" s="304">
        <f t="shared" ca="1" si="381"/>
        <v>71.963477589207685</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3.9221280883312817</v>
      </c>
      <c r="AH879" s="304">
        <f t="shared" ca="1" si="405"/>
        <v>-5.7615939796777615</v>
      </c>
    </row>
    <row r="880" spans="1:34" x14ac:dyDescent="0.25">
      <c r="A880" s="347">
        <f t="shared" ca="1" si="383"/>
        <v>0.1</v>
      </c>
      <c r="B880" s="304">
        <f t="shared" ca="1" si="384"/>
        <v>42.600000000000271</v>
      </c>
      <c r="D880" s="306">
        <f t="shared" ca="1" si="385"/>
        <v>-0.92189630095123298</v>
      </c>
      <c r="E880" s="307">
        <f t="shared" ca="1" si="386"/>
        <v>-4.0849206079002975</v>
      </c>
      <c r="F880" s="304">
        <f t="shared" ca="1" si="387"/>
        <v>4.1876567627440648</v>
      </c>
      <c r="G880" s="306">
        <f t="shared" ca="1" si="388"/>
        <v>25.698465427446894</v>
      </c>
      <c r="H880" s="307">
        <f t="shared" ca="1" si="389"/>
        <v>-160.57135162138653</v>
      </c>
      <c r="I880" s="304">
        <f t="shared" ca="1" si="390"/>
        <v>162.61479049226926</v>
      </c>
      <c r="J880" s="306">
        <f t="shared" ca="1" si="391"/>
        <v>1606.3471218541847</v>
      </c>
      <c r="K880" s="307">
        <f t="shared" ca="1" si="392"/>
        <v>211.11301978897484</v>
      </c>
      <c r="L880" s="304">
        <f t="shared" ca="1" si="377"/>
        <v>1620.1604189133998</v>
      </c>
      <c r="M880" s="306">
        <f t="shared" ca="1" si="393"/>
        <v>-1.4120982601691807</v>
      </c>
      <c r="N880" s="304">
        <f t="shared" ca="1" si="394"/>
        <v>-80.907270565460536</v>
      </c>
      <c r="P880" s="310">
        <f t="shared" ca="1" si="395"/>
        <v>23</v>
      </c>
      <c r="Q880" s="304">
        <f t="shared" ca="1" si="396"/>
        <v>0</v>
      </c>
      <c r="R880" s="306">
        <f t="shared" ca="1" si="397"/>
        <v>0</v>
      </c>
      <c r="S880" s="307">
        <f t="shared" ca="1" si="398"/>
        <v>12.409999999999973</v>
      </c>
      <c r="T880" s="304">
        <f t="shared" ca="1" si="378"/>
        <v>121.74209999999975</v>
      </c>
      <c r="U880" s="311">
        <f t="shared" ca="1" si="379"/>
        <v>0</v>
      </c>
      <c r="V880" s="306">
        <f t="shared" ca="1" si="380"/>
        <v>1.1994087869887935</v>
      </c>
      <c r="W880" s="304">
        <f t="shared" ca="1" si="381"/>
        <v>72.424825381978266</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3.8864051627443903</v>
      </c>
      <c r="AH880" s="304">
        <f t="shared" ca="1" si="405"/>
        <v>-5.798829781563887</v>
      </c>
    </row>
    <row r="881" spans="1:34" x14ac:dyDescent="0.25">
      <c r="A881" s="347">
        <f t="shared" ca="1" si="383"/>
        <v>0.1</v>
      </c>
      <c r="B881" s="304">
        <f t="shared" ca="1" si="384"/>
        <v>42.700000000000273</v>
      </c>
      <c r="D881" s="306">
        <f t="shared" ca="1" si="385"/>
        <v>-0.92228006550151009</v>
      </c>
      <c r="E881" s="307">
        <f t="shared" ca="1" si="386"/>
        <v>-4.0473307422134628</v>
      </c>
      <c r="F881" s="304">
        <f t="shared" ca="1" si="387"/>
        <v>4.1510825884445675</v>
      </c>
      <c r="G881" s="306">
        <f t="shared" ca="1" si="388"/>
        <v>25.606237420896743</v>
      </c>
      <c r="H881" s="307">
        <f t="shared" ca="1" si="389"/>
        <v>-160.97608469560788</v>
      </c>
      <c r="I881" s="304">
        <f t="shared" ca="1" si="390"/>
        <v>162.99993631527238</v>
      </c>
      <c r="J881" s="306">
        <f t="shared" ca="1" si="391"/>
        <v>1608.9123569966018</v>
      </c>
      <c r="K881" s="307">
        <f t="shared" ca="1" si="392"/>
        <v>195.03564797312512</v>
      </c>
      <c r="L881" s="304">
        <f t="shared" ca="1" si="377"/>
        <v>1620.6905554351383</v>
      </c>
      <c r="M881" s="306">
        <f t="shared" ca="1" si="393"/>
        <v>-1.4130493658695524</v>
      </c>
      <c r="N881" s="304">
        <f t="shared" ca="1" si="394"/>
        <v>-80.961764907962674</v>
      </c>
      <c r="P881" s="310">
        <f t="shared" ca="1" si="395"/>
        <v>23</v>
      </c>
      <c r="Q881" s="304">
        <f t="shared" ca="1" si="396"/>
        <v>0</v>
      </c>
      <c r="R881" s="306">
        <f t="shared" ca="1" si="397"/>
        <v>0</v>
      </c>
      <c r="S881" s="307">
        <f t="shared" ca="1" si="398"/>
        <v>12.409999999999973</v>
      </c>
      <c r="T881" s="304">
        <f t="shared" ca="1" si="378"/>
        <v>121.74209999999975</v>
      </c>
      <c r="U881" s="311">
        <f t="shared" ca="1" si="379"/>
        <v>0</v>
      </c>
      <c r="V881" s="306">
        <f t="shared" ca="1" si="380"/>
        <v>1.2013388713016653</v>
      </c>
      <c r="W881" s="304">
        <f t="shared" ca="1" si="381"/>
        <v>72.885400032273395</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3.8507209797011681</v>
      </c>
      <c r="AH881" s="304">
        <f t="shared" ca="1" si="405"/>
        <v>-5.8360052684914114</v>
      </c>
    </row>
    <row r="882" spans="1:34" x14ac:dyDescent="0.25">
      <c r="A882" s="347">
        <f t="shared" ca="1" si="383"/>
        <v>0.1</v>
      </c>
      <c r="B882" s="304">
        <f t="shared" ca="1" si="384"/>
        <v>42.800000000000274</v>
      </c>
      <c r="D882" s="306">
        <f t="shared" ca="1" si="385"/>
        <v>-0.92262898361328494</v>
      </c>
      <c r="E882" s="307">
        <f t="shared" ca="1" si="386"/>
        <v>-4.0098037834504501</v>
      </c>
      <c r="F882" s="304">
        <f t="shared" ca="1" si="387"/>
        <v>4.114580248722441</v>
      </c>
      <c r="G882" s="306">
        <f t="shared" ca="1" si="388"/>
        <v>25.513974522535413</v>
      </c>
      <c r="H882" s="307">
        <f t="shared" ca="1" si="389"/>
        <v>-161.37706507395293</v>
      </c>
      <c r="I882" s="304">
        <f t="shared" ca="1" si="390"/>
        <v>163.38151678760798</v>
      </c>
      <c r="J882" s="306">
        <f t="shared" ca="1" si="391"/>
        <v>1611.4683675937733</v>
      </c>
      <c r="K882" s="307">
        <f t="shared" ca="1" si="392"/>
        <v>178.91799048464708</v>
      </c>
      <c r="L882" s="304">
        <f t="shared" ca="1" si="377"/>
        <v>1621.3703916978393</v>
      </c>
      <c r="M882" s="306">
        <f t="shared" ca="1" si="393"/>
        <v>-1.4139926108036289</v>
      </c>
      <c r="N882" s="304">
        <f t="shared" ca="1" si="394"/>
        <v>-81.015808861732353</v>
      </c>
      <c r="P882" s="310">
        <f t="shared" ca="1" si="395"/>
        <v>23</v>
      </c>
      <c r="Q882" s="304">
        <f t="shared" ca="1" si="396"/>
        <v>0</v>
      </c>
      <c r="R882" s="306">
        <f t="shared" ca="1" si="397"/>
        <v>0</v>
      </c>
      <c r="S882" s="307">
        <f t="shared" ca="1" si="398"/>
        <v>12.409999999999973</v>
      </c>
      <c r="T882" s="304">
        <f t="shared" ca="1" si="378"/>
        <v>121.74209999999975</v>
      </c>
      <c r="U882" s="311">
        <f t="shared" ca="1" si="379"/>
        <v>0</v>
      </c>
      <c r="V882" s="306">
        <f t="shared" ca="1" si="380"/>
        <v>1.2032768790232418</v>
      </c>
      <c r="W882" s="304">
        <f t="shared" ca="1" si="381"/>
        <v>73.345177126174846</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3.8150779117416178</v>
      </c>
      <c r="AH882" s="304">
        <f t="shared" ca="1" si="405"/>
        <v>-5.8731184554612046</v>
      </c>
    </row>
    <row r="883" spans="1:34" x14ac:dyDescent="0.25">
      <c r="A883" s="347">
        <f t="shared" ca="1" si="383"/>
        <v>0.1</v>
      </c>
      <c r="B883" s="304">
        <f t="shared" ca="1" si="384"/>
        <v>42.900000000000276</v>
      </c>
      <c r="D883" s="306">
        <f t="shared" ca="1" si="385"/>
        <v>-0.92294319944820546</v>
      </c>
      <c r="E883" s="307">
        <f t="shared" ca="1" si="386"/>
        <v>-3.9723417149154336</v>
      </c>
      <c r="F883" s="304">
        <f t="shared" ca="1" si="387"/>
        <v>4.0781518914166233</v>
      </c>
      <c r="G883" s="306">
        <f t="shared" ca="1" si="388"/>
        <v>25.421680202590593</v>
      </c>
      <c r="H883" s="307">
        <f t="shared" ca="1" si="389"/>
        <v>-161.77429924544447</v>
      </c>
      <c r="I883" s="304">
        <f t="shared" ca="1" si="390"/>
        <v>163.75953627400574</v>
      </c>
      <c r="J883" s="306">
        <f t="shared" ca="1" si="391"/>
        <v>1614.0151503300297</v>
      </c>
      <c r="K883" s="307">
        <f t="shared" ca="1" si="392"/>
        <v>162.76042226867722</v>
      </c>
      <c r="L883" s="304">
        <f t="shared" ca="1" si="377"/>
        <v>1622.2009310045246</v>
      </c>
      <c r="M883" s="306">
        <f t="shared" ca="1" si="393"/>
        <v>-1.4149280976056473</v>
      </c>
      <c r="N883" s="304">
        <f t="shared" ca="1" si="394"/>
        <v>-81.069408307278195</v>
      </c>
      <c r="P883" s="310">
        <f t="shared" ca="1" si="395"/>
        <v>23</v>
      </c>
      <c r="Q883" s="304">
        <f t="shared" ca="1" si="396"/>
        <v>0</v>
      </c>
      <c r="R883" s="306">
        <f t="shared" ca="1" si="397"/>
        <v>0</v>
      </c>
      <c r="S883" s="307">
        <f t="shared" ca="1" si="398"/>
        <v>12.409999999999973</v>
      </c>
      <c r="T883" s="304">
        <f t="shared" ca="1" si="378"/>
        <v>121.74209999999975</v>
      </c>
      <c r="U883" s="311">
        <f t="shared" ca="1" si="379"/>
        <v>0</v>
      </c>
      <c r="V883" s="306">
        <f t="shared" ca="1" si="380"/>
        <v>1.2052227955792278</v>
      </c>
      <c r="W883" s="304">
        <f t="shared" ca="1" si="381"/>
        <v>73.80413247173891</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3.7794783050652425</v>
      </c>
      <c r="AH883" s="304">
        <f t="shared" ca="1" si="405"/>
        <v>-5.9101673751954076</v>
      </c>
    </row>
    <row r="884" spans="1:34" x14ac:dyDescent="0.25">
      <c r="A884" s="347">
        <f t="shared" ca="1" si="383"/>
        <v>0.1</v>
      </c>
      <c r="B884" s="304">
        <f t="shared" ca="1" si="384"/>
        <v>43.000000000000277</v>
      </c>
      <c r="D884" s="306">
        <f t="shared" ca="1" si="385"/>
        <v>-0.92322285985507269</v>
      </c>
      <c r="E884" s="307">
        <f t="shared" ca="1" si="386"/>
        <v>-3.9349465019542773</v>
      </c>
      <c r="F884" s="304">
        <f t="shared" ca="1" si="387"/>
        <v>4.0417996514178167</v>
      </c>
      <c r="G884" s="306">
        <f t="shared" ca="1" si="388"/>
        <v>25.329357916605087</v>
      </c>
      <c r="H884" s="307">
        <f t="shared" ca="1" si="389"/>
        <v>-162.1677938956399</v>
      </c>
      <c r="I884" s="304">
        <f t="shared" ca="1" si="390"/>
        <v>164.13399937077702</v>
      </c>
      <c r="J884" s="306">
        <f t="shared" ca="1" si="391"/>
        <v>1616.5527022359895</v>
      </c>
      <c r="K884" s="307">
        <f t="shared" ca="1" si="392"/>
        <v>146.56331761162301</v>
      </c>
      <c r="L884" s="304">
        <f t="shared" ca="1" si="377"/>
        <v>1623.1831212699958</v>
      </c>
      <c r="M884" s="306">
        <f t="shared" ca="1" si="393"/>
        <v>-1.4158559270895599</v>
      </c>
      <c r="N884" s="304">
        <f t="shared" ca="1" si="394"/>
        <v>-81.122569020814183</v>
      </c>
      <c r="P884" s="310">
        <f t="shared" ca="1" si="395"/>
        <v>23</v>
      </c>
      <c r="Q884" s="304">
        <f t="shared" ca="1" si="396"/>
        <v>0</v>
      </c>
      <c r="R884" s="306">
        <f t="shared" ca="1" si="397"/>
        <v>0</v>
      </c>
      <c r="S884" s="307">
        <f t="shared" ca="1" si="398"/>
        <v>12.409999999999973</v>
      </c>
      <c r="T884" s="304">
        <f t="shared" ca="1" si="378"/>
        <v>121.74209999999975</v>
      </c>
      <c r="U884" s="311">
        <f t="shared" ca="1" si="379"/>
        <v>0</v>
      </c>
      <c r="V884" s="306">
        <f t="shared" ca="1" si="380"/>
        <v>1.2071766063775959</v>
      </c>
      <c r="W884" s="304">
        <f t="shared" ca="1" si="381"/>
        <v>74.262242100998634</v>
      </c>
      <c r="Y884" s="314" t="str">
        <f t="shared" ca="1" si="399"/>
        <v/>
      </c>
      <c r="Z884" s="315" t="str">
        <f t="shared" ca="1" si="400"/>
        <v/>
      </c>
      <c r="AA884" s="316" t="str">
        <f t="shared" ca="1" si="401"/>
        <v/>
      </c>
      <c r="AC884" s="310">
        <f t="shared" ca="1" si="402"/>
        <v>43.000000000000277</v>
      </c>
      <c r="AD884" s="323">
        <f t="shared" ca="1" si="403"/>
        <v>1616.5527022359895</v>
      </c>
      <c r="AE884" s="324" t="e">
        <f t="shared" ca="1" si="382"/>
        <v>#N/A</v>
      </c>
      <c r="AG884" s="306">
        <f t="shared" ca="1" si="404"/>
        <v>3.7439244795927653</v>
      </c>
      <c r="AH884" s="304">
        <f t="shared" ca="1" si="405"/>
        <v>-5.9471500783029061</v>
      </c>
    </row>
    <row r="885" spans="1:34" x14ac:dyDescent="0.25">
      <c r="A885" s="347">
        <f t="shared" ca="1" si="383"/>
        <v>0.1</v>
      </c>
      <c r="B885" s="304">
        <f t="shared" ca="1" si="384"/>
        <v>43.100000000000279</v>
      </c>
      <c r="D885" s="306">
        <f t="shared" ca="1" si="385"/>
        <v>-0.92346811433087894</v>
      </c>
      <c r="E885" s="307">
        <f t="shared" ca="1" si="386"/>
        <v>-3.8976200917896309</v>
      </c>
      <c r="F885" s="304">
        <f t="shared" ca="1" si="387"/>
        <v>4.0055256506616006</v>
      </c>
      <c r="G885" s="306">
        <f t="shared" ca="1" si="388"/>
        <v>25.237011105171998</v>
      </c>
      <c r="H885" s="307">
        <f t="shared" ca="1" si="389"/>
        <v>-162.55755590481886</v>
      </c>
      <c r="I885" s="304">
        <f t="shared" ca="1" si="390"/>
        <v>164.50491090320338</v>
      </c>
      <c r="J885" s="306">
        <f t="shared" ca="1" si="391"/>
        <v>1619.0810206870783</v>
      </c>
      <c r="K885" s="307">
        <f t="shared" ca="1" si="392"/>
        <v>130.32705012160008</v>
      </c>
      <c r="L885" s="304">
        <f t="shared" ca="1" si="377"/>
        <v>1624.3178542214296</v>
      </c>
      <c r="M885" s="306">
        <f t="shared" ca="1" si="393"/>
        <v>-1.4167761982883007</v>
      </c>
      <c r="N885" s="304">
        <f t="shared" ca="1" si="394"/>
        <v>-81.175296676509475</v>
      </c>
      <c r="P885" s="310">
        <f t="shared" ca="1" si="395"/>
        <v>23</v>
      </c>
      <c r="Q885" s="304">
        <f t="shared" ca="1" si="396"/>
        <v>0</v>
      </c>
      <c r="R885" s="306">
        <f t="shared" ca="1" si="397"/>
        <v>0</v>
      </c>
      <c r="S885" s="307">
        <f t="shared" ca="1" si="398"/>
        <v>12.409999999999973</v>
      </c>
      <c r="T885" s="304">
        <f t="shared" ca="1" si="378"/>
        <v>121.74209999999975</v>
      </c>
      <c r="U885" s="311">
        <f t="shared" ca="1" si="379"/>
        <v>0</v>
      </c>
      <c r="V885" s="306">
        <f t="shared" ca="1" si="380"/>
        <v>1.2091382968094406</v>
      </c>
      <c r="W885" s="304">
        <f t="shared" ca="1" si="381"/>
        <v>74.719482271914771</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3.7084187290251194</v>
      </c>
      <c r="AH885" s="304">
        <f t="shared" ca="1" si="405"/>
        <v>-5.984064633440676</v>
      </c>
    </row>
    <row r="886" spans="1:34" x14ac:dyDescent="0.25">
      <c r="A886" s="347">
        <f t="shared" ca="1" si="383"/>
        <v>0.1</v>
      </c>
      <c r="B886" s="304">
        <f t="shared" ca="1" si="384"/>
        <v>43.20000000000028</v>
      </c>
      <c r="D886" s="306">
        <f t="shared" ca="1" si="385"/>
        <v>-0.9236791149817144</v>
      </c>
      <c r="E886" s="307">
        <f t="shared" ca="1" si="386"/>
        <v>-3.8603644133602595</v>
      </c>
      <c r="F886" s="304">
        <f t="shared" ca="1" si="387"/>
        <v>3.9693319981316382</v>
      </c>
      <c r="G886" s="306">
        <f t="shared" ca="1" si="388"/>
        <v>25.144643193673826</v>
      </c>
      <c r="H886" s="307">
        <f t="shared" ca="1" si="389"/>
        <v>-162.94359234615487</v>
      </c>
      <c r="I886" s="304">
        <f t="shared" ca="1" si="390"/>
        <v>164.87227592293092</v>
      </c>
      <c r="J886" s="306">
        <f t="shared" ca="1" si="391"/>
        <v>1621.6001034020205</v>
      </c>
      <c r="K886" s="307">
        <f t="shared" ca="1" si="392"/>
        <v>114.05199270905139</v>
      </c>
      <c r="L886" s="304">
        <f t="shared" ca="1" si="377"/>
        <v>1625.6059646772796</v>
      </c>
      <c r="M886" s="306">
        <f t="shared" ca="1" si="393"/>
        <v>-1.417689008492055</v>
      </c>
      <c r="N886" s="304">
        <f t="shared" ca="1" si="394"/>
        <v>-81.227596848681074</v>
      </c>
      <c r="P886" s="310">
        <f t="shared" ca="1" si="395"/>
        <v>23</v>
      </c>
      <c r="Q886" s="304">
        <f t="shared" ca="1" si="396"/>
        <v>0</v>
      </c>
      <c r="R886" s="306">
        <f t="shared" ca="1" si="397"/>
        <v>0</v>
      </c>
      <c r="S886" s="307">
        <f t="shared" ca="1" si="398"/>
        <v>12.409999999999973</v>
      </c>
      <c r="T886" s="304">
        <f t="shared" ca="1" si="378"/>
        <v>121.74209999999975</v>
      </c>
      <c r="U886" s="311">
        <f t="shared" ca="1" si="379"/>
        <v>0</v>
      </c>
      <c r="V886" s="306">
        <f t="shared" ca="1" si="380"/>
        <v>1.2111078522498373</v>
      </c>
      <c r="W886" s="304">
        <f t="shared" ca="1" si="381"/>
        <v>75.175829470276071</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3.6729633208999166</v>
      </c>
      <c r="AH886" s="304">
        <f t="shared" ca="1" si="405"/>
        <v>-6.0209091274709854</v>
      </c>
    </row>
    <row r="887" spans="1:34" x14ac:dyDescent="0.25">
      <c r="A887" s="347">
        <f t="shared" ca="1" si="383"/>
        <v>0.1</v>
      </c>
      <c r="B887" s="304">
        <f t="shared" ca="1" si="384"/>
        <v>43.300000000000281</v>
      </c>
      <c r="D887" s="306">
        <f t="shared" ca="1" si="385"/>
        <v>-0.92385601648355775</v>
      </c>
      <c r="E887" s="307">
        <f t="shared" ca="1" si="386"/>
        <v>-3.8231813771645404</v>
      </c>
      <c r="F887" s="304">
        <f t="shared" ca="1" si="387"/>
        <v>3.9332207898731824</v>
      </c>
      <c r="G887" s="306">
        <f t="shared" ca="1" si="388"/>
        <v>25.05225759202547</v>
      </c>
      <c r="H887" s="307">
        <f t="shared" ca="1" si="389"/>
        <v>-163.32591048387133</v>
      </c>
      <c r="I887" s="304">
        <f t="shared" ca="1" si="390"/>
        <v>165.2360997053693</v>
      </c>
      <c r="J887" s="306">
        <f t="shared" ca="1" si="391"/>
        <v>1624.1099484413055</v>
      </c>
      <c r="K887" s="307">
        <f t="shared" ca="1" si="392"/>
        <v>97.738517567550076</v>
      </c>
      <c r="L887" s="304">
        <f t="shared" ca="1" si="377"/>
        <v>1627.0482299066375</v>
      </c>
      <c r="M887" s="306">
        <f t="shared" ca="1" si="393"/>
        <v>-1.418594453285561</v>
      </c>
      <c r="N887" s="304">
        <f t="shared" ca="1" si="394"/>
        <v>-81.279475013931062</v>
      </c>
      <c r="P887" s="310">
        <f t="shared" ca="1" si="395"/>
        <v>23</v>
      </c>
      <c r="Q887" s="304">
        <f t="shared" ca="1" si="396"/>
        <v>0</v>
      </c>
      <c r="R887" s="306">
        <f t="shared" ca="1" si="397"/>
        <v>0</v>
      </c>
      <c r="S887" s="307">
        <f t="shared" ca="1" si="398"/>
        <v>12.409999999999973</v>
      </c>
      <c r="T887" s="304">
        <f t="shared" ca="1" si="378"/>
        <v>121.74209999999975</v>
      </c>
      <c r="U887" s="311">
        <f t="shared" ca="1" si="379"/>
        <v>0</v>
      </c>
      <c r="V887" s="306">
        <f t="shared" ca="1" si="380"/>
        <v>1.2130852580587019</v>
      </c>
      <c r="W887" s="304">
        <f t="shared" ca="1" si="381"/>
        <v>75.631260411547331</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3.6375604966455706</v>
      </c>
      <c r="AH887" s="304">
        <f t="shared" ca="1" si="405"/>
        <v>-6.0576816656145231</v>
      </c>
    </row>
    <row r="888" spans="1:34" x14ac:dyDescent="0.25">
      <c r="A888" s="347">
        <f t="shared" ca="1" si="383"/>
        <v>0.1</v>
      </c>
      <c r="B888" s="304">
        <f t="shared" ca="1" si="384"/>
        <v>43.400000000000283</v>
      </c>
      <c r="D888" s="306">
        <f t="shared" ca="1" si="385"/>
        <v>-0.92399897604293768</v>
      </c>
      <c r="E888" s="307">
        <f t="shared" ca="1" si="386"/>
        <v>-3.7860728751082497</v>
      </c>
      <c r="F888" s="304">
        <f t="shared" ca="1" si="387"/>
        <v>3.8971941090172613</v>
      </c>
      <c r="G888" s="306">
        <f t="shared" ca="1" si="388"/>
        <v>24.959857694421174</v>
      </c>
      <c r="H888" s="307">
        <f t="shared" ca="1" si="389"/>
        <v>-163.70451777138214</v>
      </c>
      <c r="I888" s="304">
        <f t="shared" ca="1" si="390"/>
        <v>165.59638774709589</v>
      </c>
      <c r="J888" s="306">
        <f t="shared" ca="1" si="391"/>
        <v>1626.6105542056277</v>
      </c>
      <c r="K888" s="307">
        <f t="shared" ca="1" si="392"/>
        <v>81.386996154787397</v>
      </c>
      <c r="L888" s="304">
        <f t="shared" ca="1" si="377"/>
        <v>1628.6453690709463</v>
      </c>
      <c r="M888" s="306">
        <f t="shared" ca="1" si="393"/>
        <v>-1.4194926265844705</v>
      </c>
      <c r="N888" s="304">
        <f t="shared" ca="1" si="394"/>
        <v>-81.330936553229918</v>
      </c>
      <c r="P888" s="310">
        <f t="shared" ca="1" si="395"/>
        <v>23</v>
      </c>
      <c r="Q888" s="304">
        <f t="shared" ca="1" si="396"/>
        <v>0</v>
      </c>
      <c r="R888" s="306">
        <f t="shared" ca="1" si="397"/>
        <v>0</v>
      </c>
      <c r="S888" s="307">
        <f t="shared" ca="1" si="398"/>
        <v>12.409999999999973</v>
      </c>
      <c r="T888" s="304">
        <f t="shared" ca="1" si="378"/>
        <v>121.74209999999975</v>
      </c>
      <c r="U888" s="311">
        <f t="shared" ca="1" si="379"/>
        <v>0</v>
      </c>
      <c r="V888" s="306">
        <f t="shared" ca="1" si="380"/>
        <v>1.215070499581657</v>
      </c>
      <c r="W888" s="304">
        <f t="shared" ca="1" si="381"/>
        <v>76.085752042666314</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3.6022124716334396</v>
      </c>
      <c r="AH888" s="304">
        <f t="shared" ca="1" si="405"/>
        <v>-6.0943803715993141</v>
      </c>
    </row>
    <row r="889" spans="1:34" x14ac:dyDescent="0.25">
      <c r="A889" s="347">
        <f t="shared" ca="1" si="383"/>
        <v>0.1</v>
      </c>
      <c r="B889" s="304">
        <f t="shared" ca="1" si="384"/>
        <v>43.500000000000284</v>
      </c>
      <c r="D889" s="306">
        <f t="shared" ca="1" si="385"/>
        <v>-0.92410815335749186</v>
      </c>
      <c r="E889" s="307">
        <f t="shared" ca="1" si="386"/>
        <v>-3.7490407803565491</v>
      </c>
      <c r="F889" s="304">
        <f t="shared" ca="1" si="387"/>
        <v>3.8612540258157368</v>
      </c>
      <c r="G889" s="306">
        <f t="shared" ca="1" si="388"/>
        <v>24.867446879085424</v>
      </c>
      <c r="H889" s="307">
        <f t="shared" ca="1" si="389"/>
        <v>-164.0794218494178</v>
      </c>
      <c r="I889" s="304">
        <f t="shared" ca="1" si="390"/>
        <v>165.95314576326459</v>
      </c>
      <c r="J889" s="306">
        <f t="shared" ca="1" si="391"/>
        <v>1629.101919434303</v>
      </c>
      <c r="K889" s="307">
        <f t="shared" ca="1" si="392"/>
        <v>64.997799173747396</v>
      </c>
      <c r="L889" s="304">
        <f t="shared" ca="1" si="377"/>
        <v>1630.398042749672</v>
      </c>
      <c r="M889" s="306">
        <f t="shared" ca="1" si="393"/>
        <v>-1.4203836206707978</v>
      </c>
      <c r="N889" s="304">
        <f t="shared" ca="1" si="394"/>
        <v>-81.381986753947587</v>
      </c>
      <c r="P889" s="310">
        <f t="shared" ca="1" si="395"/>
        <v>23</v>
      </c>
      <c r="Q889" s="304">
        <f t="shared" ca="1" si="396"/>
        <v>0</v>
      </c>
      <c r="R889" s="306">
        <f t="shared" ca="1" si="397"/>
        <v>0</v>
      </c>
      <c r="S889" s="307">
        <f t="shared" ca="1" si="398"/>
        <v>12.409999999999973</v>
      </c>
      <c r="T889" s="304">
        <f t="shared" ca="1" si="378"/>
        <v>121.74209999999975</v>
      </c>
      <c r="U889" s="311">
        <f t="shared" ca="1" si="379"/>
        <v>0</v>
      </c>
      <c r="V889" s="306">
        <f t="shared" ca="1" si="380"/>
        <v>1.2170635621508896</v>
      </c>
      <c r="W889" s="304">
        <f t="shared" ca="1" si="381"/>
        <v>76.539281543787737</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3.5669214352280862</v>
      </c>
      <c r="AH889" s="304">
        <f t="shared" ca="1" si="405"/>
        <v>-6.1310033878055181</v>
      </c>
    </row>
    <row r="890" spans="1:34" x14ac:dyDescent="0.25">
      <c r="A890" s="347">
        <f t="shared" ca="1" si="383"/>
        <v>0.1</v>
      </c>
      <c r="B890" s="304">
        <f t="shared" ca="1" si="384"/>
        <v>43.600000000000286</v>
      </c>
      <c r="D890" s="306">
        <f t="shared" ca="1" si="385"/>
        <v>-0.92418371057640325</v>
      </c>
      <c r="E890" s="307">
        <f t="shared" ca="1" si="386"/>
        <v>-3.7120869471903353</v>
      </c>
      <c r="F890" s="304">
        <f t="shared" ca="1" si="387"/>
        <v>3.8254025976876775</v>
      </c>
      <c r="G890" s="306">
        <f t="shared" ca="1" si="388"/>
        <v>24.775028508027784</v>
      </c>
      <c r="H890" s="307">
        <f t="shared" ca="1" si="389"/>
        <v>-164.45063054413683</v>
      </c>
      <c r="I890" s="304">
        <f t="shared" ca="1" si="390"/>
        <v>166.30637968501924</v>
      </c>
      <c r="J890" s="306">
        <f t="shared" ca="1" si="391"/>
        <v>1631.5840432036587</v>
      </c>
      <c r="K890" s="307">
        <f t="shared" ca="1" si="392"/>
        <v>48.571296554069662</v>
      </c>
      <c r="L890" s="304">
        <f t="shared" ca="1" si="377"/>
        <v>1632.3068525512417</v>
      </c>
      <c r="M890" s="306">
        <f t="shared" ca="1" si="393"/>
        <v>-1.4212675262274805</v>
      </c>
      <c r="N890" s="304">
        <f t="shared" ca="1" si="394"/>
        <v>-81.432630811833675</v>
      </c>
      <c r="P890" s="310">
        <f t="shared" ca="1" si="395"/>
        <v>23</v>
      </c>
      <c r="Q890" s="304">
        <f t="shared" ca="1" si="396"/>
        <v>0</v>
      </c>
      <c r="R890" s="306">
        <f t="shared" ca="1" si="397"/>
        <v>0</v>
      </c>
      <c r="S890" s="307">
        <f t="shared" ca="1" si="398"/>
        <v>12.409999999999973</v>
      </c>
      <c r="T890" s="304">
        <f t="shared" ca="1" si="378"/>
        <v>121.74209999999975</v>
      </c>
      <c r="U890" s="311">
        <f t="shared" ca="1" si="379"/>
        <v>0</v>
      </c>
      <c r="V890" s="306">
        <f t="shared" ca="1" si="380"/>
        <v>1.2190644310860235</v>
      </c>
      <c r="W890" s="304">
        <f t="shared" ca="1" si="381"/>
        <v>76.991826329976021</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3.5316895508360053</v>
      </c>
      <c r="AH890" s="304">
        <f t="shared" ca="1" si="405"/>
        <v>-6.1675488754059549</v>
      </c>
    </row>
    <row r="891" spans="1:34" x14ac:dyDescent="0.25">
      <c r="A891" s="347">
        <f t="shared" ca="1" si="383"/>
        <v>0.1</v>
      </c>
      <c r="B891" s="304">
        <f t="shared" ca="1" si="384"/>
        <v>43.700000000000287</v>
      </c>
      <c r="D891" s="306">
        <f t="shared" ca="1" si="385"/>
        <v>-0.92422581226075307</v>
      </c>
      <c r="E891" s="307">
        <f t="shared" ca="1" si="386"/>
        <v>-3.6752132108667732</v>
      </c>
      <c r="F891" s="304">
        <f t="shared" ca="1" si="387"/>
        <v>3.7896418692771889</v>
      </c>
      <c r="G891" s="306">
        <f t="shared" ca="1" si="388"/>
        <v>24.68260592680171</v>
      </c>
      <c r="H891" s="307">
        <f t="shared" ca="1" si="389"/>
        <v>-164.81815186522351</v>
      </c>
      <c r="I891" s="304">
        <f t="shared" ca="1" si="390"/>
        <v>166.65609565691159</v>
      </c>
      <c r="J891" s="306">
        <f t="shared" ca="1" si="391"/>
        <v>1634.0569249254002</v>
      </c>
      <c r="K891" s="307">
        <f t="shared" ca="1" si="392"/>
        <v>32.107857433601637</v>
      </c>
      <c r="L891" s="304">
        <f t="shared" ca="1" si="377"/>
        <v>1634.3723408102669</v>
      </c>
      <c r="M891" s="306">
        <f t="shared" ca="1" si="393"/>
        <v>-1.4221444323720813</v>
      </c>
      <c r="N891" s="304">
        <f t="shared" ca="1" si="394"/>
        <v>-81.482873832948385</v>
      </c>
      <c r="P891" s="310">
        <f t="shared" ca="1" si="395"/>
        <v>23</v>
      </c>
      <c r="Q891" s="304">
        <f t="shared" ca="1" si="396"/>
        <v>0</v>
      </c>
      <c r="R891" s="306">
        <f t="shared" ca="1" si="397"/>
        <v>0</v>
      </c>
      <c r="S891" s="307">
        <f t="shared" ca="1" si="398"/>
        <v>12.409999999999973</v>
      </c>
      <c r="T891" s="304">
        <f t="shared" ca="1" si="378"/>
        <v>121.74209999999975</v>
      </c>
      <c r="U891" s="311">
        <f t="shared" ca="1" si="379"/>
        <v>0</v>
      </c>
      <c r="V891" s="306">
        <f t="shared" ca="1" si="380"/>
        <v>1.2210730916949843</v>
      </c>
      <c r="W891" s="304">
        <f t="shared" ca="1" si="381"/>
        <v>77.443364052845041</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3.4965189559528849</v>
      </c>
      <c r="AH891" s="304">
        <f t="shared" ca="1" si="405"/>
        <v>-6.204015014502513</v>
      </c>
    </row>
    <row r="892" spans="1:34" x14ac:dyDescent="0.25">
      <c r="A892" s="347">
        <f t="shared" ca="1" si="383"/>
        <v>0.1</v>
      </c>
      <c r="B892" s="304">
        <f t="shared" ca="1" si="384"/>
        <v>43.800000000000288</v>
      </c>
      <c r="D892" s="306">
        <f t="shared" ca="1" si="385"/>
        <v>-0.92423462534375533</v>
      </c>
      <c r="E892" s="307">
        <f t="shared" ca="1" si="386"/>
        <v>-3.6384213874842066</v>
      </c>
      <c r="F892" s="304">
        <f t="shared" ca="1" si="387"/>
        <v>3.7539738725231975</v>
      </c>
      <c r="G892" s="306">
        <f t="shared" ca="1" si="388"/>
        <v>24.590182464267333</v>
      </c>
      <c r="H892" s="307">
        <f t="shared" ca="1" si="389"/>
        <v>-165.18199400397194</v>
      </c>
      <c r="I892" s="304">
        <f t="shared" ca="1" si="390"/>
        <v>167.00230003432344</v>
      </c>
      <c r="J892" s="306">
        <f t="shared" ca="1" si="391"/>
        <v>1636.5205643449535</v>
      </c>
      <c r="K892" s="307">
        <f t="shared" ca="1" si="392"/>
        <v>15.607850140141867</v>
      </c>
      <c r="L892" s="304">
        <f t="shared" ca="1" si="377"/>
        <v>1636.5949903717542</v>
      </c>
      <c r="M892" s="306">
        <f t="shared" ca="1" si="393"/>
        <v>-1.4230144266896514</v>
      </c>
      <c r="N892" s="304">
        <f t="shared" ca="1" si="394"/>
        <v>-81.532720835545518</v>
      </c>
      <c r="P892" s="310">
        <f t="shared" ca="1" si="395"/>
        <v>23</v>
      </c>
      <c r="Q892" s="304">
        <f t="shared" ca="1" si="396"/>
        <v>0</v>
      </c>
      <c r="R892" s="306">
        <f t="shared" ca="1" si="397"/>
        <v>0</v>
      </c>
      <c r="S892" s="307">
        <f t="shared" ca="1" si="398"/>
        <v>12.409999999999973</v>
      </c>
      <c r="T892" s="304">
        <f t="shared" ca="1" si="378"/>
        <v>121.74209999999975</v>
      </c>
      <c r="U892" s="311">
        <f t="shared" ca="1" si="379"/>
        <v>0</v>
      </c>
      <c r="V892" s="306">
        <f t="shared" ca="1" si="380"/>
        <v>1.2230895292748714</v>
      </c>
      <c r="W892" s="304">
        <f t="shared" ca="1" si="381"/>
        <v>77.893872602145592</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3.4614117622097327</v>
      </c>
      <c r="AH892" s="304">
        <f t="shared" ca="1" si="405"/>
        <v>-6.2404000042582757</v>
      </c>
    </row>
    <row r="893" spans="1:34" x14ac:dyDescent="0.25">
      <c r="A893" s="347">
        <f t="shared" ca="1" si="383"/>
        <v>0.1</v>
      </c>
      <c r="B893" s="304">
        <f t="shared" ca="1" si="384"/>
        <v>43.90000000000029</v>
      </c>
      <c r="D893" s="306">
        <f t="shared" ca="1" si="385"/>
        <v>-0.92421031909091533</v>
      </c>
      <c r="E893" s="307">
        <f t="shared" ca="1" si="386"/>
        <v>-3.6017132738513338</v>
      </c>
      <c r="F893" s="304">
        <f t="shared" ca="1" si="387"/>
        <v>3.7184006267414254</v>
      </c>
      <c r="G893" s="306">
        <f t="shared" ca="1" si="388"/>
        <v>24.497761432358242</v>
      </c>
      <c r="H893" s="307">
        <f t="shared" ca="1" si="389"/>
        <v>-165.54216533135707</v>
      </c>
      <c r="I893" s="304">
        <f t="shared" ca="1" si="390"/>
        <v>167.34499938089306</v>
      </c>
      <c r="J893" s="306">
        <f t="shared" ca="1" si="391"/>
        <v>1638.9749615397848</v>
      </c>
      <c r="K893" s="307">
        <f t="shared" ca="1" si="392"/>
        <v>-0.92835782662458399</v>
      </c>
      <c r="L893" s="304">
        <f t="shared" ca="1" si="377"/>
        <v>1638.9752244627109</v>
      </c>
      <c r="M893" s="306">
        <f t="shared" ca="1" si="393"/>
        <v>-1.4238775952647817</v>
      </c>
      <c r="N893" s="304">
        <f t="shared" ca="1" si="394"/>
        <v>-81.582176751908804</v>
      </c>
      <c r="P893" s="310">
        <f t="shared" ca="1" si="395"/>
        <v>23</v>
      </c>
      <c r="Q893" s="304">
        <f t="shared" ca="1" si="396"/>
        <v>0</v>
      </c>
      <c r="R893" s="306">
        <f t="shared" ca="1" si="397"/>
        <v>0</v>
      </c>
      <c r="S893" s="307">
        <f t="shared" ca="1" si="398"/>
        <v>12.409999999999973</v>
      </c>
      <c r="T893" s="304">
        <f t="shared" ca="1" si="378"/>
        <v>121.74209999999975</v>
      </c>
      <c r="U893" s="311">
        <f t="shared" ca="1" si="379"/>
        <v>0</v>
      </c>
      <c r="V893" s="306">
        <f t="shared" ca="1" si="380"/>
        <v>1.2251137291128273</v>
      </c>
      <c r="W893" s="304">
        <f t="shared" ca="1" si="381"/>
        <v>78.343330107299934</v>
      </c>
      <c r="Y893" s="314" t="str">
        <f t="shared" ca="1" si="399"/>
        <v>Impact balistique</v>
      </c>
      <c r="Z893" s="315" t="str">
        <f t="shared" ca="1" si="400"/>
        <v/>
      </c>
      <c r="AA893" s="316" t="str">
        <f t="shared" ca="1" si="401"/>
        <v/>
      </c>
      <c r="AC893" s="310" t="e">
        <f t="shared" ca="1" si="402"/>
        <v>#N/A</v>
      </c>
      <c r="AD893" s="323" t="e">
        <f t="shared" ca="1" si="403"/>
        <v>#N/A</v>
      </c>
      <c r="AE893" s="324" t="e">
        <f t="shared" ca="1" si="382"/>
        <v>#N/A</v>
      </c>
      <c r="AG893" s="306">
        <f t="shared" ca="1" si="404"/>
        <v>3.4263700554179684</v>
      </c>
      <c r="AH893" s="304">
        <f t="shared" ca="1" si="405"/>
        <v>-6.2767020630254438</v>
      </c>
    </row>
    <row r="894" spans="1:34" x14ac:dyDescent="0.25">
      <c r="A894" s="347">
        <f t="shared" ca="1" si="383"/>
        <v>1E-4</v>
      </c>
      <c r="B894" s="304">
        <f t="shared" ca="1" si="384"/>
        <v>43.900100000000293</v>
      </c>
      <c r="D894" s="306">
        <f t="shared" ca="1" si="385"/>
        <v>-0.92415306506009842</v>
      </c>
      <c r="E894" s="307">
        <f t="shared" ca="1" si="386"/>
        <v>-3.5650906473607495</v>
      </c>
      <c r="F894" s="304">
        <f t="shared" ca="1" si="387"/>
        <v>3.6829241387189966</v>
      </c>
      <c r="G894" s="306">
        <f t="shared" ca="1" si="388"/>
        <v>24.497669017051738</v>
      </c>
      <c r="H894" s="307">
        <f t="shared" ca="1" si="389"/>
        <v>-165.54252184042181</v>
      </c>
      <c r="I894" s="304">
        <f t="shared" ca="1" si="390"/>
        <v>167.34533852054423</v>
      </c>
      <c r="J894" s="306">
        <f t="shared" ca="1" si="391"/>
        <v>1638.9749615397848</v>
      </c>
      <c r="K894" s="307">
        <f t="shared" ca="1" si="392"/>
        <v>-0.94491206098317293</v>
      </c>
      <c r="L894" s="304">
        <f t="shared" ca="1" si="377"/>
        <v>1638.9752339230579</v>
      </c>
      <c r="M894" s="306">
        <f t="shared" ca="1" si="393"/>
        <v>-1.4238784534263274</v>
      </c>
      <c r="N894" s="304">
        <f t="shared" ca="1" si="394"/>
        <v>-81.582225920943515</v>
      </c>
      <c r="P894" s="310">
        <f t="shared" ca="1" si="395"/>
        <v>23</v>
      </c>
      <c r="Q894" s="304">
        <f t="shared" ca="1" si="396"/>
        <v>0</v>
      </c>
      <c r="R894" s="306">
        <f t="shared" ca="1" si="397"/>
        <v>0</v>
      </c>
      <c r="S894" s="307">
        <f t="shared" ca="1" si="398"/>
        <v>12.409999999999973</v>
      </c>
      <c r="T894" s="304">
        <f t="shared" ca="1" si="378"/>
        <v>121.74209999999975</v>
      </c>
      <c r="U894" s="311">
        <f t="shared" ca="1" si="379"/>
        <v>0</v>
      </c>
      <c r="V894" s="306">
        <f t="shared" ca="1" si="380"/>
        <v>1.225115757196489</v>
      </c>
      <c r="W894" s="304">
        <f t="shared" ca="1" si="381"/>
        <v>78.343777339210547</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3.3913958956137309</v>
      </c>
      <c r="AH894" s="304">
        <f t="shared" ca="1" si="405"/>
        <v>-6.3129194284689847</v>
      </c>
    </row>
    <row r="895" spans="1:34" x14ac:dyDescent="0.25">
      <c r="A895" s="347">
        <f t="shared" ca="1" si="383"/>
        <v>1E-4</v>
      </c>
      <c r="B895" s="304">
        <f t="shared" ca="1" si="384"/>
        <v>43.900200000000297</v>
      </c>
      <c r="D895" s="306">
        <f t="shared" ca="1" si="385"/>
        <v>-0.92415298152216652</v>
      </c>
      <c r="E895" s="307">
        <f t="shared" ca="1" si="386"/>
        <v>-3.565054204502597</v>
      </c>
      <c r="F895" s="304">
        <f t="shared" ca="1" si="387"/>
        <v>3.6828888408826508</v>
      </c>
      <c r="G895" s="306">
        <f t="shared" ca="1" si="388"/>
        <v>24.497576601753586</v>
      </c>
      <c r="H895" s="307">
        <f t="shared" ca="1" si="389"/>
        <v>-165.54287834584227</v>
      </c>
      <c r="I895" s="304">
        <f t="shared" ca="1" si="390"/>
        <v>167.34567765671486</v>
      </c>
      <c r="J895" s="306">
        <f t="shared" ca="1" si="391"/>
        <v>1638.9749615397848</v>
      </c>
      <c r="K895" s="307">
        <f t="shared" ca="1" si="392"/>
        <v>-0.96146633099248613</v>
      </c>
      <c r="L895" s="304">
        <f t="shared" ca="1" si="377"/>
        <v>1638.9752435506293</v>
      </c>
      <c r="M895" s="306">
        <f t="shared" ca="1" si="393"/>
        <v>-1.4238793115811572</v>
      </c>
      <c r="N895" s="304">
        <f t="shared" ca="1" si="394"/>
        <v>-81.582275089593423</v>
      </c>
      <c r="P895" s="310">
        <f t="shared" ca="1" si="395"/>
        <v>23</v>
      </c>
      <c r="Q895" s="304">
        <f t="shared" ca="1" si="396"/>
        <v>0</v>
      </c>
      <c r="R895" s="306">
        <f t="shared" ca="1" si="397"/>
        <v>0</v>
      </c>
      <c r="S895" s="307">
        <f t="shared" ca="1" si="398"/>
        <v>12.409999999999973</v>
      </c>
      <c r="T895" s="304">
        <f t="shared" ca="1" si="378"/>
        <v>121.74209999999975</v>
      </c>
      <c r="U895" s="311">
        <f t="shared" ca="1" si="379"/>
        <v>0</v>
      </c>
      <c r="V895" s="306">
        <f t="shared" ca="1" si="380"/>
        <v>1.2251177852878758</v>
      </c>
      <c r="W895" s="304">
        <f t="shared" ca="1" si="381"/>
        <v>78.344224570051111</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3.3913610899836</v>
      </c>
      <c r="AH895" s="304">
        <f t="shared" ca="1" si="405"/>
        <v>-6.3129554664956258</v>
      </c>
    </row>
    <row r="896" spans="1:34" x14ac:dyDescent="0.25">
      <c r="A896" s="347">
        <f t="shared" ca="1" si="383"/>
        <v>1E-4</v>
      </c>
      <c r="B896" s="304">
        <f t="shared" ca="1" si="384"/>
        <v>43.9003000000003</v>
      </c>
      <c r="D896" s="306">
        <f t="shared" ca="1" si="385"/>
        <v>-0.92415289795168465</v>
      </c>
      <c r="E896" s="307">
        <f t="shared" ca="1" si="386"/>
        <v>-3.5650177617314931</v>
      </c>
      <c r="F896" s="304">
        <f t="shared" ca="1" si="387"/>
        <v>3.6828535431447067</v>
      </c>
      <c r="G896" s="306">
        <f t="shared" ca="1" si="388"/>
        <v>24.49748418646379</v>
      </c>
      <c r="H896" s="307">
        <f t="shared" ca="1" si="389"/>
        <v>-165.54323484761844</v>
      </c>
      <c r="I896" s="304">
        <f t="shared" ca="1" si="390"/>
        <v>167.34601678940493</v>
      </c>
      <c r="J896" s="306">
        <f t="shared" ca="1" si="391"/>
        <v>1638.9749615397848</v>
      </c>
      <c r="K896" s="307">
        <f t="shared" ca="1" si="392"/>
        <v>-0.97802063665215921</v>
      </c>
      <c r="L896" s="304">
        <f t="shared" ca="1" si="377"/>
        <v>1638.9752533454264</v>
      </c>
      <c r="M896" s="306">
        <f t="shared" ca="1" si="393"/>
        <v>-1.4238801697292716</v>
      </c>
      <c r="N896" s="304">
        <f t="shared" ca="1" si="394"/>
        <v>-81.582324257858573</v>
      </c>
      <c r="P896" s="310">
        <f t="shared" ca="1" si="395"/>
        <v>23</v>
      </c>
      <c r="Q896" s="304">
        <f t="shared" ca="1" si="396"/>
        <v>0</v>
      </c>
      <c r="R896" s="306">
        <f t="shared" ca="1" si="397"/>
        <v>0</v>
      </c>
      <c r="S896" s="307">
        <f t="shared" ca="1" si="398"/>
        <v>12.409999999999973</v>
      </c>
      <c r="T896" s="304">
        <f t="shared" ca="1" si="378"/>
        <v>121.74209999999975</v>
      </c>
      <c r="U896" s="311">
        <f t="shared" ca="1" si="379"/>
        <v>0</v>
      </c>
      <c r="V896" s="306">
        <f t="shared" ca="1" si="380"/>
        <v>1.2251198133869881</v>
      </c>
      <c r="W896" s="304">
        <f t="shared" ca="1" si="381"/>
        <v>78.34467179982164</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3.3913262844229024</v>
      </c>
      <c r="AH896" s="304">
        <f t="shared" ca="1" si="405"/>
        <v>-6.3129915044360416</v>
      </c>
    </row>
    <row r="897" spans="1:34" x14ac:dyDescent="0.25">
      <c r="A897" s="347">
        <f t="shared" ca="1" si="383"/>
        <v>1E-4</v>
      </c>
      <c r="B897" s="304">
        <f t="shared" ca="1" si="384"/>
        <v>43.900400000000303</v>
      </c>
      <c r="D897" s="306">
        <f t="shared" ca="1" si="385"/>
        <v>-0.92415281434865282</v>
      </c>
      <c r="E897" s="307">
        <f t="shared" ca="1" si="386"/>
        <v>-3.5649813190474342</v>
      </c>
      <c r="F897" s="304">
        <f t="shared" ca="1" si="387"/>
        <v>3.6828182455051621</v>
      </c>
      <c r="G897" s="306">
        <f t="shared" ca="1" si="388"/>
        <v>24.497391771182354</v>
      </c>
      <c r="H897" s="307">
        <f t="shared" ca="1" si="389"/>
        <v>-165.54359134575034</v>
      </c>
      <c r="I897" s="304">
        <f t="shared" ca="1" si="390"/>
        <v>167.34635591861442</v>
      </c>
      <c r="J897" s="306">
        <f t="shared" ca="1" si="391"/>
        <v>1638.9749615397848</v>
      </c>
      <c r="K897" s="307">
        <f t="shared" ca="1" si="392"/>
        <v>-0.9945749779618277</v>
      </c>
      <c r="L897" s="304">
        <f t="shared" ca="1" si="377"/>
        <v>1638.9752633074502</v>
      </c>
      <c r="M897" s="306">
        <f t="shared" ca="1" si="393"/>
        <v>-1.4238810278706706</v>
      </c>
      <c r="N897" s="304">
        <f t="shared" ca="1" si="394"/>
        <v>-81.582373425738965</v>
      </c>
      <c r="P897" s="310">
        <f t="shared" ca="1" si="395"/>
        <v>23</v>
      </c>
      <c r="Q897" s="304">
        <f t="shared" ca="1" si="396"/>
        <v>0</v>
      </c>
      <c r="R897" s="306">
        <f t="shared" ca="1" si="397"/>
        <v>0</v>
      </c>
      <c r="S897" s="307">
        <f t="shared" ca="1" si="398"/>
        <v>12.409999999999973</v>
      </c>
      <c r="T897" s="304">
        <f t="shared" ca="1" si="378"/>
        <v>121.74209999999975</v>
      </c>
      <c r="U897" s="311">
        <f t="shared" ca="1" si="379"/>
        <v>0</v>
      </c>
      <c r="V897" s="306">
        <f t="shared" ca="1" si="380"/>
        <v>1.2251218414938254</v>
      </c>
      <c r="W897" s="304">
        <f t="shared" ca="1" si="381"/>
        <v>78.345119028522049</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3.3912914789316382</v>
      </c>
      <c r="AH897" s="304">
        <f t="shared" ca="1" si="405"/>
        <v>-6.313027542290234</v>
      </c>
    </row>
    <row r="898" spans="1:34" x14ac:dyDescent="0.25">
      <c r="A898" s="347">
        <f t="shared" ca="1" si="383"/>
        <v>1E-4</v>
      </c>
      <c r="B898" s="304">
        <f t="shared" ca="1" si="384"/>
        <v>43.900500000000306</v>
      </c>
      <c r="D898" s="306">
        <f t="shared" ca="1" si="385"/>
        <v>-0.92415273071306947</v>
      </c>
      <c r="E898" s="307">
        <f t="shared" ca="1" si="386"/>
        <v>-3.5649448764504257</v>
      </c>
      <c r="F898" s="304">
        <f t="shared" ca="1" si="387"/>
        <v>3.6827829479640211</v>
      </c>
      <c r="G898" s="306">
        <f t="shared" ca="1" si="388"/>
        <v>24.497299355909284</v>
      </c>
      <c r="H898" s="307">
        <f t="shared" ca="1" si="389"/>
        <v>-165.54394784023799</v>
      </c>
      <c r="I898" s="304">
        <f t="shared" ca="1" si="390"/>
        <v>167.34669504434339</v>
      </c>
      <c r="J898" s="306">
        <f t="shared" ca="1" si="391"/>
        <v>1638.9749615397848</v>
      </c>
      <c r="K898" s="307">
        <f t="shared" ca="1" si="392"/>
        <v>-1.0111293549211271</v>
      </c>
      <c r="L898" s="304">
        <f t="shared" ca="1" si="377"/>
        <v>1638.9752734367019</v>
      </c>
      <c r="M898" s="306">
        <f t="shared" ca="1" si="393"/>
        <v>-1.4238818860053544</v>
      </c>
      <c r="N898" s="304">
        <f t="shared" ca="1" si="394"/>
        <v>-81.582422593234597</v>
      </c>
      <c r="P898" s="310">
        <f t="shared" ca="1" si="395"/>
        <v>23</v>
      </c>
      <c r="Q898" s="304">
        <f t="shared" ca="1" si="396"/>
        <v>0</v>
      </c>
      <c r="R898" s="306">
        <f t="shared" ca="1" si="397"/>
        <v>0</v>
      </c>
      <c r="S898" s="307">
        <f t="shared" ca="1" si="398"/>
        <v>12.409999999999973</v>
      </c>
      <c r="T898" s="304">
        <f t="shared" ca="1" si="378"/>
        <v>121.74209999999975</v>
      </c>
      <c r="U898" s="311">
        <f t="shared" ca="1" si="379"/>
        <v>0</v>
      </c>
      <c r="V898" s="306">
        <f t="shared" ca="1" si="380"/>
        <v>1.2251238696083877</v>
      </c>
      <c r="W898" s="304">
        <f t="shared" ca="1" si="381"/>
        <v>78.345566256152367</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3.3912566735098153</v>
      </c>
      <c r="AH898" s="304">
        <f t="shared" ca="1" si="405"/>
        <v>-6.3130635800581967</v>
      </c>
    </row>
    <row r="899" spans="1:34" x14ac:dyDescent="0.25">
      <c r="A899" s="347">
        <f t="shared" ca="1" si="383"/>
        <v>1E-4</v>
      </c>
      <c r="B899" s="304">
        <f t="shared" ca="1" si="384"/>
        <v>43.90060000000031</v>
      </c>
      <c r="D899" s="306">
        <f t="shared" ca="1" si="385"/>
        <v>-0.92415264704493583</v>
      </c>
      <c r="E899" s="307">
        <f t="shared" ca="1" si="386"/>
        <v>-3.5649084339404684</v>
      </c>
      <c r="F899" s="304">
        <f t="shared" ca="1" si="387"/>
        <v>3.6827476505212848</v>
      </c>
      <c r="G899" s="306">
        <f t="shared" ca="1" si="388"/>
        <v>24.497206940644581</v>
      </c>
      <c r="H899" s="307">
        <f t="shared" ca="1" si="389"/>
        <v>-165.54430433108138</v>
      </c>
      <c r="I899" s="304">
        <f t="shared" ca="1" si="390"/>
        <v>167.34703416659184</v>
      </c>
      <c r="J899" s="306">
        <f t="shared" ca="1" si="391"/>
        <v>1638.9749615397848</v>
      </c>
      <c r="K899" s="307">
        <f t="shared" ca="1" si="392"/>
        <v>-1.027683767529693</v>
      </c>
      <c r="L899" s="304">
        <f t="shared" ca="1" si="377"/>
        <v>1638.9752837331821</v>
      </c>
      <c r="M899" s="306">
        <f t="shared" ca="1" si="393"/>
        <v>-1.4238827441333228</v>
      </c>
      <c r="N899" s="304">
        <f t="shared" ca="1" si="394"/>
        <v>-81.582471760345484</v>
      </c>
      <c r="P899" s="310">
        <f t="shared" ca="1" si="395"/>
        <v>23</v>
      </c>
      <c r="Q899" s="304">
        <f t="shared" ca="1" si="396"/>
        <v>0</v>
      </c>
      <c r="R899" s="306">
        <f t="shared" ca="1" si="397"/>
        <v>0</v>
      </c>
      <c r="S899" s="307">
        <f t="shared" ca="1" si="398"/>
        <v>12.409999999999973</v>
      </c>
      <c r="T899" s="304">
        <f t="shared" ca="1" si="378"/>
        <v>121.74209999999975</v>
      </c>
      <c r="U899" s="311">
        <f t="shared" ca="1" si="379"/>
        <v>0</v>
      </c>
      <c r="V899" s="306">
        <f t="shared" ca="1" si="380"/>
        <v>1.2251258977306754</v>
      </c>
      <c r="W899" s="304">
        <f t="shared" ca="1" si="381"/>
        <v>78.346013482712564</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3.3912218681574293</v>
      </c>
      <c r="AH899" s="304">
        <f t="shared" ca="1" si="405"/>
        <v>-6.3130996177399306</v>
      </c>
    </row>
    <row r="900" spans="1:34" x14ac:dyDescent="0.25">
      <c r="A900" s="347">
        <f t="shared" ca="1" si="383"/>
        <v>1E-4</v>
      </c>
      <c r="B900" s="304">
        <f t="shared" ca="1" si="384"/>
        <v>43.900700000000313</v>
      </c>
      <c r="D900" s="306">
        <f t="shared" ca="1" si="385"/>
        <v>-0.92415256334425233</v>
      </c>
      <c r="E900" s="307">
        <f t="shared" ca="1" si="386"/>
        <v>-3.5648719915175642</v>
      </c>
      <c r="F900" s="304">
        <f t="shared" ca="1" si="387"/>
        <v>3.6827123531769566</v>
      </c>
      <c r="G900" s="306">
        <f t="shared" ca="1" si="388"/>
        <v>24.497114525388248</v>
      </c>
      <c r="H900" s="307">
        <f t="shared" ca="1" si="389"/>
        <v>-165.54466081828053</v>
      </c>
      <c r="I900" s="304">
        <f t="shared" ca="1" si="390"/>
        <v>167.34737328535974</v>
      </c>
      <c r="J900" s="306">
        <f t="shared" ca="1" si="391"/>
        <v>1638.9749615397848</v>
      </c>
      <c r="K900" s="307">
        <f t="shared" ca="1" si="392"/>
        <v>-1.044238215787161</v>
      </c>
      <c r="L900" s="304">
        <f t="shared" ref="L900:L963" ca="1" si="406">SQRT(pos_x^2+pos_z^2)</f>
        <v>1638.9752941968925</v>
      </c>
      <c r="M900" s="306">
        <f t="shared" ca="1" si="393"/>
        <v>-1.4238836022545762</v>
      </c>
      <c r="N900" s="304">
        <f t="shared" ca="1" si="394"/>
        <v>-81.582520927071613</v>
      </c>
      <c r="P900" s="310">
        <f t="shared" ca="1" si="395"/>
        <v>23</v>
      </c>
      <c r="Q900" s="304">
        <f t="shared" ca="1" si="396"/>
        <v>0</v>
      </c>
      <c r="R900" s="306">
        <f t="shared" ca="1" si="397"/>
        <v>0</v>
      </c>
      <c r="S900" s="307">
        <f t="shared" ca="1" si="398"/>
        <v>12.409999999999973</v>
      </c>
      <c r="T900" s="304">
        <f t="shared" ref="T900:T963" ca="1" si="407">m*g</f>
        <v>121.74209999999975</v>
      </c>
      <c r="U900" s="311">
        <f t="shared" ref="U900:U963" ca="1" si="408">IF(pos_xz&lt;L_rampe,Poids*COS(Beta),0)</f>
        <v>0</v>
      </c>
      <c r="V900" s="306">
        <f t="shared" ref="V900:V963" ca="1" si="409">Rho_moyen*(20000-Alt_rampe-pos_z)/(20000+Alt_rampe+pos_z)</f>
        <v>1.225127925860688</v>
      </c>
      <c r="W900" s="304">
        <f t="shared" ref="W900:W963" ca="1" si="410">1/2*Rho*Sref*Cx*vit_xz^2</f>
        <v>78.346460708202599</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3.3911870628744838</v>
      </c>
      <c r="AH900" s="304">
        <f t="shared" ca="1" si="405"/>
        <v>-6.3131356553354339</v>
      </c>
    </row>
    <row r="901" spans="1:34" x14ac:dyDescent="0.25">
      <c r="A901" s="347">
        <f t="shared" ref="A901:A964" ca="1" si="412">IF(B900+0.01&lt;=T_ini+ROUNDUP(Temps_fin_propu,0), 0.01, IF(K900&gt;0, 0.1, 0.0001))</f>
        <v>1E-4</v>
      </c>
      <c r="B901" s="304">
        <f t="shared" ref="B901:B964" ca="1" si="413">B900+pas</f>
        <v>43.900800000000316</v>
      </c>
      <c r="D901" s="306">
        <f t="shared" ref="D901:D964" ca="1" si="414">IF(AND(L900&lt;L_rampe,Poussee&lt;Poids*SIN(M900)),0,(-W900+Poussee)/m*COS(M900)-U900/m*SIN(M900))</f>
        <v>-0.92415247961101843</v>
      </c>
      <c r="E901" s="307">
        <f t="shared" ref="E901:E964" ca="1" si="415">IF(AND(L900&lt;L_rampe,Poussee&lt;Poids*SIN(M900)),0,(-W900+Poussee)/m*SIN(M900)+U900/m*COS(M900)-Poids/m)</f>
        <v>-3.5648355491817147</v>
      </c>
      <c r="F901" s="304">
        <f t="shared" ref="F901:F964" ca="1" si="416">SQRT(acc_x^2+acc_z^2)</f>
        <v>3.6826770559310371</v>
      </c>
      <c r="G901" s="306">
        <f t="shared" ref="G901:G964" ca="1" si="417">G900+acc_x*pas</f>
        <v>24.497022110140286</v>
      </c>
      <c r="H901" s="307">
        <f t="shared" ref="H901:H964" ca="1" si="418">H900+acc_z*pas</f>
        <v>-165.54501730183546</v>
      </c>
      <c r="I901" s="304">
        <f t="shared" ref="I901:I964" ca="1" si="419">SQRT(vit_x^2+vit_z^2)</f>
        <v>167.34771240064711</v>
      </c>
      <c r="J901" s="306">
        <f t="shared" ref="J901:J964" ca="1" si="420">J900+0.5*(vit_x+G900)*pas*(K900&gt;=0)</f>
        <v>1638.9749615397848</v>
      </c>
      <c r="K901" s="307">
        <f t="shared" ref="K901:K964" ca="1" si="421">K900+0.5*(vit_z+H900)*pas</f>
        <v>-1.0607926996931669</v>
      </c>
      <c r="L901" s="304">
        <f t="shared" ca="1" si="406"/>
        <v>1638.975304827834</v>
      </c>
      <c r="M901" s="306">
        <f t="shared" ref="M901:M964" ca="1" si="422">IF(AND(L900&gt;L_rampe,G901&gt;0),ATAN2(G901,H901),$M$4)</f>
        <v>-1.4238844603691145</v>
      </c>
      <c r="N901" s="304">
        <f t="shared" ref="N901:N964" ca="1" si="423">DEGREES(Beta)</f>
        <v>-81.582570093412997</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12.409999999999973</v>
      </c>
      <c r="T901" s="304">
        <f t="shared" ca="1" si="407"/>
        <v>121.74209999999975</v>
      </c>
      <c r="U901" s="311">
        <f t="shared" ca="1" si="408"/>
        <v>0</v>
      </c>
      <c r="V901" s="306">
        <f t="shared" ca="1" si="409"/>
        <v>1.2251299539984251</v>
      </c>
      <c r="W901" s="304">
        <f t="shared" ca="1" si="410"/>
        <v>78.3469079326224</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3.391152257660984</v>
      </c>
      <c r="AH901" s="304">
        <f t="shared" ref="AH901:AH964" ca="1" si="434">IF(AND(L900&lt;L_rampe,Poussee&lt;Poids*SIN(M900)), g*SIN(M900), (-W900+Poussee)/m)</f>
        <v>-6.313171692844703</v>
      </c>
    </row>
    <row r="902" spans="1:34" x14ac:dyDescent="0.25">
      <c r="A902" s="347">
        <f t="shared" ca="1" si="412"/>
        <v>1E-4</v>
      </c>
      <c r="B902" s="304">
        <f t="shared" ca="1" si="413"/>
        <v>43.90090000000032</v>
      </c>
      <c r="D902" s="306">
        <f t="shared" ca="1" si="414"/>
        <v>-0.92415239584523401</v>
      </c>
      <c r="E902" s="307">
        <f t="shared" ca="1" si="415"/>
        <v>-3.5647991069329272</v>
      </c>
      <c r="F902" s="304">
        <f t="shared" ca="1" si="416"/>
        <v>3.6826417587835341</v>
      </c>
      <c r="G902" s="306">
        <f t="shared" ca="1" si="417"/>
        <v>24.4969296949007</v>
      </c>
      <c r="H902" s="307">
        <f t="shared" ca="1" si="418"/>
        <v>-165.54537378174615</v>
      </c>
      <c r="I902" s="304">
        <f t="shared" ca="1" si="419"/>
        <v>167.34805151245399</v>
      </c>
      <c r="J902" s="306">
        <f t="shared" ca="1" si="420"/>
        <v>1638.9749615397848</v>
      </c>
      <c r="K902" s="307">
        <f t="shared" ca="1" si="421"/>
        <v>-1.0773472192473461</v>
      </c>
      <c r="L902" s="304">
        <f t="shared" ca="1" si="406"/>
        <v>1638.9753156260072</v>
      </c>
      <c r="M902" s="306">
        <f t="shared" ca="1" si="422"/>
        <v>-1.4238853184769378</v>
      </c>
      <c r="N902" s="304">
        <f t="shared" ca="1" si="423"/>
        <v>-81.582619259369636</v>
      </c>
      <c r="P902" s="310">
        <f t="shared" ca="1" si="424"/>
        <v>23</v>
      </c>
      <c r="Q902" s="304">
        <f t="shared" ca="1" si="425"/>
        <v>0</v>
      </c>
      <c r="R902" s="306">
        <f t="shared" ca="1" si="426"/>
        <v>0</v>
      </c>
      <c r="S902" s="307">
        <f t="shared" ca="1" si="427"/>
        <v>12.409999999999973</v>
      </c>
      <c r="T902" s="304">
        <f t="shared" ca="1" si="407"/>
        <v>121.74209999999975</v>
      </c>
      <c r="U902" s="311">
        <f t="shared" ca="1" si="408"/>
        <v>0</v>
      </c>
      <c r="V902" s="306">
        <f t="shared" ca="1" si="409"/>
        <v>1.2251319821438877</v>
      </c>
      <c r="W902" s="304">
        <f t="shared" ca="1" si="410"/>
        <v>78.347355155972082</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3.3911174525169354</v>
      </c>
      <c r="AH902" s="304">
        <f t="shared" ca="1" si="434"/>
        <v>-6.3132077302677327</v>
      </c>
    </row>
    <row r="903" spans="1:34" x14ac:dyDescent="0.25">
      <c r="A903" s="347">
        <f t="shared" ca="1" si="412"/>
        <v>1E-4</v>
      </c>
      <c r="B903" s="304">
        <f t="shared" ca="1" si="413"/>
        <v>43.901000000000323</v>
      </c>
      <c r="D903" s="306">
        <f t="shared" ca="1" si="414"/>
        <v>-0.9241523120469014</v>
      </c>
      <c r="E903" s="307">
        <f t="shared" ca="1" si="415"/>
        <v>-3.564762664771191</v>
      </c>
      <c r="F903" s="304">
        <f t="shared" ca="1" si="416"/>
        <v>3.6826064617344381</v>
      </c>
      <c r="G903" s="306">
        <f t="shared" ca="1" si="417"/>
        <v>24.496837279669496</v>
      </c>
      <c r="H903" s="307">
        <f t="shared" ca="1" si="418"/>
        <v>-165.54573025801264</v>
      </c>
      <c r="I903" s="304">
        <f t="shared" ca="1" si="419"/>
        <v>167.34839062078035</v>
      </c>
      <c r="J903" s="306">
        <f t="shared" ca="1" si="420"/>
        <v>1638.9749615397848</v>
      </c>
      <c r="K903" s="307">
        <f t="shared" ca="1" si="421"/>
        <v>-1.093901774449334</v>
      </c>
      <c r="L903" s="304">
        <f t="shared" ca="1" si="406"/>
        <v>1638.9753265914137</v>
      </c>
      <c r="M903" s="306">
        <f t="shared" ca="1" si="422"/>
        <v>-1.4238861765780462</v>
      </c>
      <c r="N903" s="304">
        <f t="shared" ca="1" si="423"/>
        <v>-81.582668424941531</v>
      </c>
      <c r="P903" s="310">
        <f t="shared" ca="1" si="424"/>
        <v>23</v>
      </c>
      <c r="Q903" s="304">
        <f t="shared" ca="1" si="425"/>
        <v>0</v>
      </c>
      <c r="R903" s="306">
        <f t="shared" ca="1" si="426"/>
        <v>0</v>
      </c>
      <c r="S903" s="307">
        <f t="shared" ca="1" si="427"/>
        <v>12.409999999999973</v>
      </c>
      <c r="T903" s="304">
        <f t="shared" ca="1" si="407"/>
        <v>121.74209999999975</v>
      </c>
      <c r="U903" s="311">
        <f t="shared" ca="1" si="408"/>
        <v>0</v>
      </c>
      <c r="V903" s="306">
        <f t="shared" ca="1" si="409"/>
        <v>1.2251340102970751</v>
      </c>
      <c r="W903" s="304">
        <f t="shared" ca="1" si="410"/>
        <v>78.347802378251515</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3.3910826474423281</v>
      </c>
      <c r="AH903" s="304">
        <f t="shared" ca="1" si="434"/>
        <v>-6.3132437676045328</v>
      </c>
    </row>
    <row r="904" spans="1:34" x14ac:dyDescent="0.25">
      <c r="A904" s="347">
        <f t="shared" ca="1" si="412"/>
        <v>1E-4</v>
      </c>
      <c r="B904" s="304">
        <f t="shared" ca="1" si="413"/>
        <v>43.901100000000326</v>
      </c>
      <c r="D904" s="306">
        <f t="shared" ca="1" si="414"/>
        <v>-0.9241522282160185</v>
      </c>
      <c r="E904" s="307">
        <f t="shared" ca="1" si="415"/>
        <v>-3.5647262226965175</v>
      </c>
      <c r="F904" s="304">
        <f t="shared" ca="1" si="416"/>
        <v>3.6825711647837593</v>
      </c>
      <c r="G904" s="306">
        <f t="shared" ca="1" si="417"/>
        <v>24.496744864446676</v>
      </c>
      <c r="H904" s="307">
        <f t="shared" ca="1" si="418"/>
        <v>-165.5460867306349</v>
      </c>
      <c r="I904" s="304">
        <f t="shared" ca="1" si="419"/>
        <v>167.34872972562621</v>
      </c>
      <c r="J904" s="306">
        <f t="shared" ca="1" si="420"/>
        <v>1638.9749615397848</v>
      </c>
      <c r="K904" s="307">
        <f t="shared" ca="1" si="421"/>
        <v>-1.1104563652987665</v>
      </c>
      <c r="L904" s="304">
        <f t="shared" ca="1" si="406"/>
        <v>1638.9753377240545</v>
      </c>
      <c r="M904" s="306">
        <f t="shared" ca="1" si="422"/>
        <v>-1.4238870346724397</v>
      </c>
      <c r="N904" s="304">
        <f t="shared" ca="1" si="423"/>
        <v>-81.582717590128709</v>
      </c>
      <c r="P904" s="310">
        <f t="shared" ca="1" si="424"/>
        <v>23</v>
      </c>
      <c r="Q904" s="304">
        <f t="shared" ca="1" si="425"/>
        <v>0</v>
      </c>
      <c r="R904" s="306">
        <f t="shared" ca="1" si="426"/>
        <v>0</v>
      </c>
      <c r="S904" s="307">
        <f t="shared" ca="1" si="427"/>
        <v>12.409999999999973</v>
      </c>
      <c r="T904" s="304">
        <f t="shared" ca="1" si="407"/>
        <v>121.74209999999975</v>
      </c>
      <c r="U904" s="311">
        <f t="shared" ca="1" si="408"/>
        <v>0</v>
      </c>
      <c r="V904" s="306">
        <f t="shared" ca="1" si="409"/>
        <v>1.2251360384579879</v>
      </c>
      <c r="W904" s="304">
        <f t="shared" ca="1" si="410"/>
        <v>78.348249599460729</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3.3910478424371719</v>
      </c>
      <c r="AH904" s="304">
        <f t="shared" ca="1" si="434"/>
        <v>-6.3132798048550915</v>
      </c>
    </row>
    <row r="905" spans="1:34" x14ac:dyDescent="0.25">
      <c r="A905" s="347">
        <f t="shared" ca="1" si="412"/>
        <v>1E-4</v>
      </c>
      <c r="B905" s="304">
        <f t="shared" ca="1" si="413"/>
        <v>43.90120000000033</v>
      </c>
      <c r="D905" s="306">
        <f t="shared" ca="1" si="414"/>
        <v>-0.92415214435258697</v>
      </c>
      <c r="E905" s="307">
        <f t="shared" ca="1" si="415"/>
        <v>-3.5646897807089051</v>
      </c>
      <c r="F905" s="304">
        <f t="shared" ca="1" si="416"/>
        <v>3.6825358679314975</v>
      </c>
      <c r="G905" s="306">
        <f t="shared" ca="1" si="417"/>
        <v>24.49665244923224</v>
      </c>
      <c r="H905" s="307">
        <f t="shared" ca="1" si="418"/>
        <v>-165.54644319961298</v>
      </c>
      <c r="I905" s="304">
        <f t="shared" ca="1" si="419"/>
        <v>167.34906882699158</v>
      </c>
      <c r="J905" s="306">
        <f t="shared" ca="1" si="420"/>
        <v>1638.9749615397848</v>
      </c>
      <c r="K905" s="307">
        <f t="shared" ca="1" si="421"/>
        <v>-1.1270109917952789</v>
      </c>
      <c r="L905" s="304">
        <f t="shared" ca="1" si="406"/>
        <v>1638.9753490239304</v>
      </c>
      <c r="M905" s="306">
        <f t="shared" ca="1" si="422"/>
        <v>-1.4238878927601186</v>
      </c>
      <c r="N905" s="304">
        <f t="shared" ca="1" si="423"/>
        <v>-81.582766754931171</v>
      </c>
      <c r="P905" s="310">
        <f t="shared" ca="1" si="424"/>
        <v>23</v>
      </c>
      <c r="Q905" s="304">
        <f t="shared" ca="1" si="425"/>
        <v>0</v>
      </c>
      <c r="R905" s="306">
        <f t="shared" ca="1" si="426"/>
        <v>0</v>
      </c>
      <c r="S905" s="307">
        <f t="shared" ca="1" si="427"/>
        <v>12.409999999999973</v>
      </c>
      <c r="T905" s="304">
        <f t="shared" ca="1" si="407"/>
        <v>121.74209999999975</v>
      </c>
      <c r="U905" s="311">
        <f t="shared" ca="1" si="408"/>
        <v>0</v>
      </c>
      <c r="V905" s="306">
        <f t="shared" ca="1" si="409"/>
        <v>1.2251380666266254</v>
      </c>
      <c r="W905" s="304">
        <f t="shared" ca="1" si="410"/>
        <v>78.348696819599667</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3.3910130375014678</v>
      </c>
      <c r="AH905" s="304">
        <f t="shared" ca="1" si="434"/>
        <v>-6.3133158420194118</v>
      </c>
    </row>
    <row r="906" spans="1:34" x14ac:dyDescent="0.25">
      <c r="A906" s="347">
        <f t="shared" ca="1" si="412"/>
        <v>1E-4</v>
      </c>
      <c r="B906" s="304">
        <f t="shared" ca="1" si="413"/>
        <v>43.901300000000333</v>
      </c>
      <c r="D906" s="306">
        <f t="shared" ca="1" si="414"/>
        <v>-0.92415206045660525</v>
      </c>
      <c r="E906" s="307">
        <f t="shared" ca="1" si="415"/>
        <v>-3.5646533388083572</v>
      </c>
      <c r="F906" s="304">
        <f t="shared" ca="1" si="416"/>
        <v>3.6825005711776555</v>
      </c>
      <c r="G906" s="306">
        <f t="shared" ca="1" si="417"/>
        <v>24.496560034026196</v>
      </c>
      <c r="H906" s="307">
        <f t="shared" ca="1" si="418"/>
        <v>-165.54679966494686</v>
      </c>
      <c r="I906" s="304">
        <f t="shared" ca="1" si="419"/>
        <v>167.34940792487646</v>
      </c>
      <c r="J906" s="306">
        <f t="shared" ca="1" si="420"/>
        <v>1638.9749615397848</v>
      </c>
      <c r="K906" s="307">
        <f t="shared" ca="1" si="421"/>
        <v>-1.1435656539385068</v>
      </c>
      <c r="L906" s="304">
        <f t="shared" ca="1" si="406"/>
        <v>1638.9753604910429</v>
      </c>
      <c r="M906" s="306">
        <f t="shared" ca="1" si="422"/>
        <v>-1.4238887508410829</v>
      </c>
      <c r="N906" s="304">
        <f t="shared" ca="1" si="423"/>
        <v>-81.582815919348903</v>
      </c>
      <c r="P906" s="310">
        <f t="shared" ca="1" si="424"/>
        <v>23</v>
      </c>
      <c r="Q906" s="304">
        <f t="shared" ca="1" si="425"/>
        <v>0</v>
      </c>
      <c r="R906" s="306">
        <f t="shared" ca="1" si="426"/>
        <v>0</v>
      </c>
      <c r="S906" s="307">
        <f t="shared" ca="1" si="427"/>
        <v>12.409999999999973</v>
      </c>
      <c r="T906" s="304">
        <f t="shared" ca="1" si="407"/>
        <v>121.74209999999975</v>
      </c>
      <c r="U906" s="311">
        <f t="shared" ca="1" si="408"/>
        <v>0</v>
      </c>
      <c r="V906" s="306">
        <f t="shared" ca="1" si="409"/>
        <v>1.2251400948029878</v>
      </c>
      <c r="W906" s="304">
        <f t="shared" ca="1" si="410"/>
        <v>78.349144038668328</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3.3909782326352182</v>
      </c>
      <c r="AH906" s="304">
        <f t="shared" ca="1" si="434"/>
        <v>-6.313351879097489</v>
      </c>
    </row>
    <row r="907" spans="1:34" x14ac:dyDescent="0.25">
      <c r="A907" s="347">
        <f t="shared" ca="1" si="412"/>
        <v>1E-4</v>
      </c>
      <c r="B907" s="304">
        <f t="shared" ca="1" si="413"/>
        <v>43.901400000000336</v>
      </c>
      <c r="D907" s="306">
        <f t="shared" ca="1" si="414"/>
        <v>-0.92415197652807457</v>
      </c>
      <c r="E907" s="307">
        <f t="shared" ca="1" si="415"/>
        <v>-3.5646168969948739</v>
      </c>
      <c r="F907" s="304">
        <f t="shared" ca="1" si="416"/>
        <v>3.6824652745222339</v>
      </c>
      <c r="G907" s="306">
        <f t="shared" ca="1" si="417"/>
        <v>24.496467618828543</v>
      </c>
      <c r="H907" s="307">
        <f t="shared" ca="1" si="418"/>
        <v>-165.54715612663657</v>
      </c>
      <c r="I907" s="304">
        <f t="shared" ca="1" si="419"/>
        <v>167.34974701928084</v>
      </c>
      <c r="J907" s="306">
        <f t="shared" ca="1" si="420"/>
        <v>1638.9749615397848</v>
      </c>
      <c r="K907" s="307">
        <f t="shared" ca="1" si="421"/>
        <v>-1.160120351728086</v>
      </c>
      <c r="L907" s="304">
        <f t="shared" ca="1" si="406"/>
        <v>1638.9753721253928</v>
      </c>
      <c r="M907" s="306">
        <f t="shared" ca="1" si="422"/>
        <v>-1.4238896089153326</v>
      </c>
      <c r="N907" s="304">
        <f t="shared" ca="1" si="423"/>
        <v>-81.582865083381918</v>
      </c>
      <c r="P907" s="310">
        <f t="shared" ca="1" si="424"/>
        <v>23</v>
      </c>
      <c r="Q907" s="304">
        <f t="shared" ca="1" si="425"/>
        <v>0</v>
      </c>
      <c r="R907" s="306">
        <f t="shared" ca="1" si="426"/>
        <v>0</v>
      </c>
      <c r="S907" s="307">
        <f t="shared" ca="1" si="427"/>
        <v>12.409999999999973</v>
      </c>
      <c r="T907" s="304">
        <f t="shared" ca="1" si="407"/>
        <v>121.74209999999975</v>
      </c>
      <c r="U907" s="311">
        <f t="shared" ca="1" si="408"/>
        <v>0</v>
      </c>
      <c r="V907" s="306">
        <f t="shared" ca="1" si="409"/>
        <v>1.2251421229870751</v>
      </c>
      <c r="W907" s="304">
        <f t="shared" ca="1" si="410"/>
        <v>78.34959125666667</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3.3909434278384234</v>
      </c>
      <c r="AH907" s="304">
        <f t="shared" ca="1" si="434"/>
        <v>-6.3133879160893231</v>
      </c>
    </row>
    <row r="908" spans="1:34" x14ac:dyDescent="0.25">
      <c r="A908" s="347">
        <f t="shared" ca="1" si="412"/>
        <v>1E-4</v>
      </c>
      <c r="B908" s="304">
        <f t="shared" ca="1" si="413"/>
        <v>43.90150000000034</v>
      </c>
      <c r="D908" s="306">
        <f t="shared" ca="1" si="414"/>
        <v>-0.92415189256699537</v>
      </c>
      <c r="E908" s="307">
        <f t="shared" ca="1" si="415"/>
        <v>-3.5645804552684597</v>
      </c>
      <c r="F908" s="304">
        <f t="shared" ca="1" si="416"/>
        <v>3.6824299779652372</v>
      </c>
      <c r="G908" s="306">
        <f t="shared" ca="1" si="417"/>
        <v>24.496375203639285</v>
      </c>
      <c r="H908" s="307">
        <f t="shared" ca="1" si="418"/>
        <v>-165.5475125846821</v>
      </c>
      <c r="I908" s="304">
        <f t="shared" ca="1" si="419"/>
        <v>167.35008611020476</v>
      </c>
      <c r="J908" s="306">
        <f t="shared" ca="1" si="420"/>
        <v>1638.9749615397848</v>
      </c>
      <c r="K908" s="307">
        <f t="shared" ca="1" si="421"/>
        <v>-1.176675085163652</v>
      </c>
      <c r="L908" s="304">
        <f t="shared" ca="1" si="406"/>
        <v>1638.9753839269811</v>
      </c>
      <c r="M908" s="306">
        <f t="shared" ca="1" si="422"/>
        <v>-1.4238904669828676</v>
      </c>
      <c r="N908" s="304">
        <f t="shared" ca="1" si="423"/>
        <v>-81.582914247030203</v>
      </c>
      <c r="P908" s="310">
        <f t="shared" ca="1" si="424"/>
        <v>23</v>
      </c>
      <c r="Q908" s="304">
        <f t="shared" ca="1" si="425"/>
        <v>0</v>
      </c>
      <c r="R908" s="306">
        <f t="shared" ca="1" si="426"/>
        <v>0</v>
      </c>
      <c r="S908" s="307">
        <f t="shared" ca="1" si="427"/>
        <v>12.409999999999973</v>
      </c>
      <c r="T908" s="304">
        <f t="shared" ca="1" si="407"/>
        <v>121.74209999999975</v>
      </c>
      <c r="U908" s="311">
        <f t="shared" ca="1" si="408"/>
        <v>0</v>
      </c>
      <c r="V908" s="306">
        <f t="shared" ca="1" si="409"/>
        <v>1.2251441511788876</v>
      </c>
      <c r="W908" s="304">
        <f t="shared" ca="1" si="410"/>
        <v>78.350038473594694</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3.3909086231110868</v>
      </c>
      <c r="AH908" s="304">
        <f t="shared" ca="1" si="434"/>
        <v>-6.3134239529949108</v>
      </c>
    </row>
    <row r="909" spans="1:34" x14ac:dyDescent="0.25">
      <c r="A909" s="347">
        <f t="shared" ca="1" si="412"/>
        <v>1E-4</v>
      </c>
      <c r="B909" s="304">
        <f t="shared" ca="1" si="413"/>
        <v>43.901600000000343</v>
      </c>
      <c r="D909" s="306">
        <f t="shared" ca="1" si="414"/>
        <v>-0.92415180857336843</v>
      </c>
      <c r="E909" s="307">
        <f t="shared" ca="1" si="415"/>
        <v>-3.5645440136291136</v>
      </c>
      <c r="F909" s="304">
        <f t="shared" ca="1" si="416"/>
        <v>3.6823946815066657</v>
      </c>
      <c r="G909" s="306">
        <f t="shared" ca="1" si="417"/>
        <v>24.496282788458426</v>
      </c>
      <c r="H909" s="307">
        <f t="shared" ca="1" si="418"/>
        <v>-165.54786903908345</v>
      </c>
      <c r="I909" s="304">
        <f t="shared" ca="1" si="419"/>
        <v>167.35042519764821</v>
      </c>
      <c r="J909" s="306">
        <f t="shared" ca="1" si="420"/>
        <v>1638.9749615397848</v>
      </c>
      <c r="K909" s="307">
        <f t="shared" ca="1" si="421"/>
        <v>-1.1932298542448403</v>
      </c>
      <c r="L909" s="304">
        <f t="shared" ca="1" si="406"/>
        <v>1638.975395895809</v>
      </c>
      <c r="M909" s="306">
        <f t="shared" ca="1" si="422"/>
        <v>-1.4238913250436884</v>
      </c>
      <c r="N909" s="304">
        <f t="shared" ca="1" si="423"/>
        <v>-81.5829634102938</v>
      </c>
      <c r="P909" s="310">
        <f t="shared" ca="1" si="424"/>
        <v>23</v>
      </c>
      <c r="Q909" s="304">
        <f t="shared" ca="1" si="425"/>
        <v>0</v>
      </c>
      <c r="R909" s="306">
        <f t="shared" ca="1" si="426"/>
        <v>0</v>
      </c>
      <c r="S909" s="307">
        <f t="shared" ca="1" si="427"/>
        <v>12.409999999999973</v>
      </c>
      <c r="T909" s="304">
        <f t="shared" ca="1" si="407"/>
        <v>121.74209999999975</v>
      </c>
      <c r="U909" s="311">
        <f t="shared" ca="1" si="408"/>
        <v>0</v>
      </c>
      <c r="V909" s="306">
        <f t="shared" ca="1" si="409"/>
        <v>1.2251461793784251</v>
      </c>
      <c r="W909" s="304">
        <f t="shared" ca="1" si="410"/>
        <v>78.350485689452384</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3.3908738184532119</v>
      </c>
      <c r="AH909" s="304">
        <f t="shared" ca="1" si="434"/>
        <v>-6.3134599898142518</v>
      </c>
    </row>
    <row r="910" spans="1:34" x14ac:dyDescent="0.25">
      <c r="A910" s="347">
        <f t="shared" ca="1" si="412"/>
        <v>1E-4</v>
      </c>
      <c r="B910" s="304">
        <f t="shared" ca="1" si="413"/>
        <v>43.901700000000346</v>
      </c>
      <c r="D910" s="306">
        <f t="shared" ca="1" si="414"/>
        <v>-0.92415172454719186</v>
      </c>
      <c r="E910" s="307">
        <f t="shared" ca="1" si="415"/>
        <v>-3.5645075720768373</v>
      </c>
      <c r="F910" s="304">
        <f t="shared" ca="1" si="416"/>
        <v>3.6823593851465204</v>
      </c>
      <c r="G910" s="306">
        <f t="shared" ca="1" si="417"/>
        <v>24.496190373285973</v>
      </c>
      <c r="H910" s="307">
        <f t="shared" ca="1" si="418"/>
        <v>-165.54822548984066</v>
      </c>
      <c r="I910" s="304">
        <f t="shared" ca="1" si="419"/>
        <v>167.35076428161119</v>
      </c>
      <c r="J910" s="306">
        <f t="shared" ca="1" si="420"/>
        <v>1638.9749615397848</v>
      </c>
      <c r="K910" s="307">
        <f t="shared" ca="1" si="421"/>
        <v>-1.2097846589712864</v>
      </c>
      <c r="L910" s="304">
        <f t="shared" ca="1" si="406"/>
        <v>1638.9754080318778</v>
      </c>
      <c r="M910" s="306">
        <f t="shared" ca="1" si="422"/>
        <v>-1.4238921830977949</v>
      </c>
      <c r="N910" s="304">
        <f t="shared" ca="1" si="423"/>
        <v>-81.583012573172695</v>
      </c>
      <c r="P910" s="310">
        <f t="shared" ca="1" si="424"/>
        <v>23</v>
      </c>
      <c r="Q910" s="304">
        <f t="shared" ca="1" si="425"/>
        <v>0</v>
      </c>
      <c r="R910" s="306">
        <f t="shared" ca="1" si="426"/>
        <v>0</v>
      </c>
      <c r="S910" s="307">
        <f t="shared" ca="1" si="427"/>
        <v>12.409999999999973</v>
      </c>
      <c r="T910" s="304">
        <f t="shared" ca="1" si="407"/>
        <v>121.74209999999975</v>
      </c>
      <c r="U910" s="311">
        <f t="shared" ca="1" si="408"/>
        <v>0</v>
      </c>
      <c r="V910" s="306">
        <f t="shared" ca="1" si="409"/>
        <v>1.2251482075856872</v>
      </c>
      <c r="W910" s="304">
        <f t="shared" ca="1" si="410"/>
        <v>78.350932904239698</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3.3908390138647979</v>
      </c>
      <c r="AH910" s="304">
        <f t="shared" ca="1" si="434"/>
        <v>-6.3134960265473454</v>
      </c>
    </row>
    <row r="911" spans="1:34" x14ac:dyDescent="0.25">
      <c r="A911" s="347">
        <f t="shared" ca="1" si="412"/>
        <v>1E-4</v>
      </c>
      <c r="B911" s="304">
        <f t="shared" ca="1" si="413"/>
        <v>43.90180000000035</v>
      </c>
      <c r="D911" s="306">
        <f t="shared" ca="1" si="414"/>
        <v>-0.92415164048846743</v>
      </c>
      <c r="E911" s="307">
        <f t="shared" ca="1" si="415"/>
        <v>-3.5644711306116346</v>
      </c>
      <c r="F911" s="304">
        <f t="shared" ca="1" si="416"/>
        <v>3.6823240888848052</v>
      </c>
      <c r="G911" s="306">
        <f t="shared" ca="1" si="417"/>
        <v>24.496097958121926</v>
      </c>
      <c r="H911" s="307">
        <f t="shared" ca="1" si="418"/>
        <v>-165.54858193695372</v>
      </c>
      <c r="I911" s="304">
        <f t="shared" ca="1" si="419"/>
        <v>167.35110336209374</v>
      </c>
      <c r="J911" s="306">
        <f t="shared" ca="1" si="420"/>
        <v>1638.9749615397848</v>
      </c>
      <c r="K911" s="307">
        <f t="shared" ca="1" si="421"/>
        <v>-1.2263394993426262</v>
      </c>
      <c r="L911" s="304">
        <f t="shared" ca="1" si="406"/>
        <v>1638.9754203351881</v>
      </c>
      <c r="M911" s="306">
        <f t="shared" ca="1" si="422"/>
        <v>-1.4238930411451871</v>
      </c>
      <c r="N911" s="304">
        <f t="shared" ca="1" si="423"/>
        <v>-81.583061735666902</v>
      </c>
      <c r="P911" s="310">
        <f t="shared" ca="1" si="424"/>
        <v>23</v>
      </c>
      <c r="Q911" s="304">
        <f t="shared" ca="1" si="425"/>
        <v>0</v>
      </c>
      <c r="R911" s="306">
        <f t="shared" ca="1" si="426"/>
        <v>0</v>
      </c>
      <c r="S911" s="307">
        <f t="shared" ca="1" si="427"/>
        <v>12.409999999999973</v>
      </c>
      <c r="T911" s="304">
        <f t="shared" ca="1" si="407"/>
        <v>121.74209999999975</v>
      </c>
      <c r="U911" s="311">
        <f t="shared" ca="1" si="408"/>
        <v>0</v>
      </c>
      <c r="V911" s="306">
        <f t="shared" ca="1" si="409"/>
        <v>1.2251502358006743</v>
      </c>
      <c r="W911" s="304">
        <f t="shared" ca="1" si="410"/>
        <v>78.351380117956623</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3.3908042093458475</v>
      </c>
      <c r="AH911" s="304">
        <f t="shared" ca="1" si="434"/>
        <v>-6.3135320631941871</v>
      </c>
    </row>
    <row r="912" spans="1:34" x14ac:dyDescent="0.25">
      <c r="A912" s="347">
        <f t="shared" ca="1" si="412"/>
        <v>1E-4</v>
      </c>
      <c r="B912" s="304">
        <f t="shared" ca="1" si="413"/>
        <v>43.901900000000353</v>
      </c>
      <c r="D912" s="306">
        <f t="shared" ca="1" si="414"/>
        <v>-0.9241515563971946</v>
      </c>
      <c r="E912" s="307">
        <f t="shared" ca="1" si="415"/>
        <v>-3.5644346892335044</v>
      </c>
      <c r="F912" s="304">
        <f t="shared" ca="1" si="416"/>
        <v>3.6822887927215198</v>
      </c>
      <c r="G912" s="306">
        <f t="shared" ca="1" si="417"/>
        <v>24.496005542966287</v>
      </c>
      <c r="H912" s="307">
        <f t="shared" ca="1" si="418"/>
        <v>-165.54893838042264</v>
      </c>
      <c r="I912" s="304">
        <f t="shared" ca="1" si="419"/>
        <v>167.35144243909582</v>
      </c>
      <c r="J912" s="306">
        <f t="shared" ca="1" si="420"/>
        <v>1638.9749615397848</v>
      </c>
      <c r="K912" s="307">
        <f t="shared" ca="1" si="421"/>
        <v>-1.2428943753584951</v>
      </c>
      <c r="L912" s="304">
        <f t="shared" ca="1" si="406"/>
        <v>1638.9754328057413</v>
      </c>
      <c r="M912" s="306">
        <f t="shared" ca="1" si="422"/>
        <v>-1.4238938991858652</v>
      </c>
      <c r="N912" s="304">
        <f t="shared" ca="1" si="423"/>
        <v>-81.583110897776393</v>
      </c>
      <c r="P912" s="310">
        <f t="shared" ca="1" si="424"/>
        <v>23</v>
      </c>
      <c r="Q912" s="304">
        <f t="shared" ca="1" si="425"/>
        <v>0</v>
      </c>
      <c r="R912" s="306">
        <f t="shared" ca="1" si="426"/>
        <v>0</v>
      </c>
      <c r="S912" s="307">
        <f t="shared" ca="1" si="427"/>
        <v>12.409999999999973</v>
      </c>
      <c r="T912" s="304">
        <f t="shared" ca="1" si="407"/>
        <v>121.74209999999975</v>
      </c>
      <c r="U912" s="311">
        <f t="shared" ca="1" si="408"/>
        <v>0</v>
      </c>
      <c r="V912" s="306">
        <f t="shared" ca="1" si="409"/>
        <v>1.2251522640233865</v>
      </c>
      <c r="W912" s="304">
        <f t="shared" ca="1" si="410"/>
        <v>78.351827330603157</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3.390769404896365</v>
      </c>
      <c r="AH912" s="304">
        <f t="shared" ca="1" si="434"/>
        <v>-6.3135680997547778</v>
      </c>
    </row>
    <row r="913" spans="1:34" x14ac:dyDescent="0.25">
      <c r="A913" s="347">
        <f t="shared" ca="1" si="412"/>
        <v>1E-4</v>
      </c>
      <c r="B913" s="304">
        <f t="shared" ca="1" si="413"/>
        <v>43.902000000000356</v>
      </c>
      <c r="D913" s="306">
        <f t="shared" ca="1" si="414"/>
        <v>-0.92415147227337446</v>
      </c>
      <c r="E913" s="307">
        <f t="shared" ca="1" si="415"/>
        <v>-3.5643982479424494</v>
      </c>
      <c r="F913" s="304">
        <f t="shared" ca="1" si="416"/>
        <v>3.6822534966566667</v>
      </c>
      <c r="G913" s="306">
        <f t="shared" ca="1" si="417"/>
        <v>24.495913127819058</v>
      </c>
      <c r="H913" s="307">
        <f t="shared" ca="1" si="418"/>
        <v>-165.54929482024744</v>
      </c>
      <c r="I913" s="304">
        <f t="shared" ca="1" si="419"/>
        <v>167.35178151261749</v>
      </c>
      <c r="J913" s="306">
        <f t="shared" ca="1" si="420"/>
        <v>1638.9749615397848</v>
      </c>
      <c r="K913" s="307">
        <f t="shared" ca="1" si="421"/>
        <v>-1.2594492870185285</v>
      </c>
      <c r="L913" s="304">
        <f t="shared" ca="1" si="406"/>
        <v>1638.9754454435385</v>
      </c>
      <c r="M913" s="306">
        <f t="shared" ca="1" si="422"/>
        <v>-1.4238947572198293</v>
      </c>
      <c r="N913" s="304">
        <f t="shared" ca="1" si="423"/>
        <v>-81.583160059501225</v>
      </c>
      <c r="P913" s="310">
        <f t="shared" ca="1" si="424"/>
        <v>23</v>
      </c>
      <c r="Q913" s="304">
        <f t="shared" ca="1" si="425"/>
        <v>0</v>
      </c>
      <c r="R913" s="306">
        <f t="shared" ca="1" si="426"/>
        <v>0</v>
      </c>
      <c r="S913" s="307">
        <f t="shared" ca="1" si="427"/>
        <v>12.409999999999973</v>
      </c>
      <c r="T913" s="304">
        <f t="shared" ca="1" si="407"/>
        <v>121.74209999999975</v>
      </c>
      <c r="U913" s="311">
        <f t="shared" ca="1" si="408"/>
        <v>0</v>
      </c>
      <c r="V913" s="306">
        <f t="shared" ca="1" si="409"/>
        <v>1.2251542922538234</v>
      </c>
      <c r="W913" s="304">
        <f t="shared" ca="1" si="410"/>
        <v>78.352274542179273</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3.390734600516347</v>
      </c>
      <c r="AH913" s="304">
        <f t="shared" ca="1" si="434"/>
        <v>-6.3136041362291158</v>
      </c>
    </row>
    <row r="914" spans="1:34" x14ac:dyDescent="0.25">
      <c r="A914" s="347">
        <f t="shared" ca="1" si="412"/>
        <v>1E-4</v>
      </c>
      <c r="B914" s="304">
        <f t="shared" ca="1" si="413"/>
        <v>43.90210000000036</v>
      </c>
      <c r="D914" s="306">
        <f t="shared" ca="1" si="414"/>
        <v>-0.92415138811700603</v>
      </c>
      <c r="E914" s="307">
        <f t="shared" ca="1" si="415"/>
        <v>-3.5643618067384706</v>
      </c>
      <c r="F914" s="304">
        <f t="shared" ca="1" si="416"/>
        <v>3.6822182006902473</v>
      </c>
      <c r="G914" s="306">
        <f t="shared" ca="1" si="417"/>
        <v>24.495820712680246</v>
      </c>
      <c r="H914" s="307">
        <f t="shared" ca="1" si="418"/>
        <v>-165.54965125642812</v>
      </c>
      <c r="I914" s="304">
        <f t="shared" ca="1" si="419"/>
        <v>167.35212058265873</v>
      </c>
      <c r="J914" s="306">
        <f t="shared" ca="1" si="420"/>
        <v>1638.9749615397848</v>
      </c>
      <c r="K914" s="307">
        <f t="shared" ca="1" si="421"/>
        <v>-1.2760042343223623</v>
      </c>
      <c r="L914" s="304">
        <f t="shared" ca="1" si="406"/>
        <v>1638.9754582485807</v>
      </c>
      <c r="M914" s="306">
        <f t="shared" ca="1" si="422"/>
        <v>-1.4238956152470792</v>
      </c>
      <c r="N914" s="304">
        <f t="shared" ca="1" si="423"/>
        <v>-81.583209220841354</v>
      </c>
      <c r="P914" s="310">
        <f t="shared" ca="1" si="424"/>
        <v>23</v>
      </c>
      <c r="Q914" s="304">
        <f t="shared" ca="1" si="425"/>
        <v>0</v>
      </c>
      <c r="R914" s="306">
        <f t="shared" ca="1" si="426"/>
        <v>0</v>
      </c>
      <c r="S914" s="307">
        <f t="shared" ca="1" si="427"/>
        <v>12.409999999999973</v>
      </c>
      <c r="T914" s="304">
        <f t="shared" ca="1" si="407"/>
        <v>121.74209999999975</v>
      </c>
      <c r="U914" s="311">
        <f t="shared" ca="1" si="408"/>
        <v>0</v>
      </c>
      <c r="V914" s="306">
        <f t="shared" ca="1" si="409"/>
        <v>1.2251563204919849</v>
      </c>
      <c r="W914" s="304">
        <f t="shared" ca="1" si="410"/>
        <v>78.3527217526849</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3.3906997962057988</v>
      </c>
      <c r="AH914" s="304">
        <f t="shared" ca="1" si="434"/>
        <v>-6.3136401726171991</v>
      </c>
    </row>
    <row r="915" spans="1:34" x14ac:dyDescent="0.25">
      <c r="A915" s="347">
        <f t="shared" ca="1" si="412"/>
        <v>1E-4</v>
      </c>
      <c r="B915" s="304">
        <f t="shared" ca="1" si="413"/>
        <v>43.902200000000363</v>
      </c>
      <c r="D915" s="306">
        <f t="shared" ca="1" si="414"/>
        <v>-0.92415130392809075</v>
      </c>
      <c r="E915" s="307">
        <f t="shared" ca="1" si="415"/>
        <v>-3.5643253656215741</v>
      </c>
      <c r="F915" s="304">
        <f t="shared" ca="1" si="416"/>
        <v>3.6821829048222683</v>
      </c>
      <c r="G915" s="306">
        <f t="shared" ca="1" si="417"/>
        <v>24.495728297549853</v>
      </c>
      <c r="H915" s="307">
        <f t="shared" ca="1" si="418"/>
        <v>-165.55000768896468</v>
      </c>
      <c r="I915" s="304">
        <f t="shared" ca="1" si="419"/>
        <v>167.35245964921953</v>
      </c>
      <c r="J915" s="306">
        <f t="shared" ca="1" si="420"/>
        <v>1638.9749615397848</v>
      </c>
      <c r="K915" s="307">
        <f t="shared" ca="1" si="421"/>
        <v>-1.2925592172696319</v>
      </c>
      <c r="L915" s="304">
        <f t="shared" ca="1" si="406"/>
        <v>1638.9754712208689</v>
      </c>
      <c r="M915" s="306">
        <f t="shared" ca="1" si="422"/>
        <v>-1.4238964732676154</v>
      </c>
      <c r="N915" s="304">
        <f t="shared" ca="1" si="423"/>
        <v>-81.58325838179681</v>
      </c>
      <c r="P915" s="310">
        <f t="shared" ca="1" si="424"/>
        <v>23</v>
      </c>
      <c r="Q915" s="304">
        <f t="shared" ca="1" si="425"/>
        <v>0</v>
      </c>
      <c r="R915" s="306">
        <f t="shared" ca="1" si="426"/>
        <v>0</v>
      </c>
      <c r="S915" s="307">
        <f t="shared" ca="1" si="427"/>
        <v>12.409999999999973</v>
      </c>
      <c r="T915" s="304">
        <f t="shared" ca="1" si="407"/>
        <v>121.74209999999975</v>
      </c>
      <c r="U915" s="311">
        <f t="shared" ca="1" si="408"/>
        <v>0</v>
      </c>
      <c r="V915" s="306">
        <f t="shared" ca="1" si="409"/>
        <v>1.2251583487378714</v>
      </c>
      <c r="W915" s="304">
        <f t="shared" ca="1" si="410"/>
        <v>78.35316896212008</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3.3906649919647238</v>
      </c>
      <c r="AH915" s="304">
        <f t="shared" ca="1" si="434"/>
        <v>-6.3136762089190226</v>
      </c>
    </row>
    <row r="916" spans="1:34" x14ac:dyDescent="0.25">
      <c r="A916" s="347">
        <f t="shared" ca="1" si="412"/>
        <v>1E-4</v>
      </c>
      <c r="B916" s="304">
        <f t="shared" ca="1" si="413"/>
        <v>43.902300000000366</v>
      </c>
      <c r="D916" s="306">
        <f t="shared" ca="1" si="414"/>
        <v>-0.92415121970662728</v>
      </c>
      <c r="E916" s="307">
        <f t="shared" ca="1" si="415"/>
        <v>-3.5642889245917573</v>
      </c>
      <c r="F916" s="304">
        <f t="shared" ca="1" si="416"/>
        <v>3.682147609052727</v>
      </c>
      <c r="G916" s="306">
        <f t="shared" ca="1" si="417"/>
        <v>24.495635882427884</v>
      </c>
      <c r="H916" s="307">
        <f t="shared" ca="1" si="418"/>
        <v>-165.55036411785713</v>
      </c>
      <c r="I916" s="304">
        <f t="shared" ca="1" si="419"/>
        <v>167.35279871229989</v>
      </c>
      <c r="J916" s="306">
        <f t="shared" ca="1" si="420"/>
        <v>1638.9749615397848</v>
      </c>
      <c r="K916" s="307">
        <f t="shared" ca="1" si="421"/>
        <v>-1.309114235859973</v>
      </c>
      <c r="L916" s="304">
        <f t="shared" ca="1" si="406"/>
        <v>1638.9754843604044</v>
      </c>
      <c r="M916" s="306">
        <f t="shared" ca="1" si="422"/>
        <v>-1.4238973312814376</v>
      </c>
      <c r="N916" s="304">
        <f t="shared" ca="1" si="423"/>
        <v>-81.583307542367578</v>
      </c>
      <c r="P916" s="310">
        <f t="shared" ca="1" si="424"/>
        <v>23</v>
      </c>
      <c r="Q916" s="304">
        <f t="shared" ca="1" si="425"/>
        <v>0</v>
      </c>
      <c r="R916" s="306">
        <f t="shared" ca="1" si="426"/>
        <v>0</v>
      </c>
      <c r="S916" s="307">
        <f t="shared" ca="1" si="427"/>
        <v>12.409999999999973</v>
      </c>
      <c r="T916" s="304">
        <f t="shared" ca="1" si="407"/>
        <v>121.74209999999975</v>
      </c>
      <c r="U916" s="311">
        <f t="shared" ca="1" si="408"/>
        <v>0</v>
      </c>
      <c r="V916" s="306">
        <f t="shared" ca="1" si="409"/>
        <v>1.2251603769914832</v>
      </c>
      <c r="W916" s="304">
        <f t="shared" ca="1" si="410"/>
        <v>78.35361617048477</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3.3906301877931231</v>
      </c>
      <c r="AH916" s="304">
        <f t="shared" ca="1" si="434"/>
        <v>-6.3137122451345888</v>
      </c>
    </row>
    <row r="917" spans="1:34" x14ac:dyDescent="0.25">
      <c r="A917" s="347">
        <f t="shared" ca="1" si="412"/>
        <v>1E-4</v>
      </c>
      <c r="B917" s="304">
        <f t="shared" ca="1" si="413"/>
        <v>43.90240000000037</v>
      </c>
      <c r="D917" s="306">
        <f t="shared" ca="1" si="414"/>
        <v>-0.92415113545261784</v>
      </c>
      <c r="E917" s="307">
        <f t="shared" ca="1" si="415"/>
        <v>-3.564252483649021</v>
      </c>
      <c r="F917" s="304">
        <f t="shared" ca="1" si="416"/>
        <v>3.6821123133816243</v>
      </c>
      <c r="G917" s="306">
        <f t="shared" ca="1" si="417"/>
        <v>24.495543467314338</v>
      </c>
      <c r="H917" s="307">
        <f t="shared" ca="1" si="418"/>
        <v>-165.55072054310548</v>
      </c>
      <c r="I917" s="304">
        <f t="shared" ca="1" si="419"/>
        <v>167.35313777189987</v>
      </c>
      <c r="J917" s="306">
        <f t="shared" ca="1" si="420"/>
        <v>1638.9749615397848</v>
      </c>
      <c r="K917" s="307">
        <f t="shared" ca="1" si="421"/>
        <v>-1.3256692900930211</v>
      </c>
      <c r="L917" s="304">
        <f t="shared" ca="1" si="406"/>
        <v>1638.9754976671877</v>
      </c>
      <c r="M917" s="306">
        <f t="shared" ca="1" si="422"/>
        <v>-1.4238981892885463</v>
      </c>
      <c r="N917" s="304">
        <f t="shared" ca="1" si="423"/>
        <v>-81.583356702553701</v>
      </c>
      <c r="P917" s="310">
        <f t="shared" ca="1" si="424"/>
        <v>23</v>
      </c>
      <c r="Q917" s="304">
        <f t="shared" ca="1" si="425"/>
        <v>0</v>
      </c>
      <c r="R917" s="306">
        <f t="shared" ca="1" si="426"/>
        <v>0</v>
      </c>
      <c r="S917" s="307">
        <f t="shared" ca="1" si="427"/>
        <v>12.409999999999973</v>
      </c>
      <c r="T917" s="304">
        <f t="shared" ca="1" si="407"/>
        <v>121.74209999999975</v>
      </c>
      <c r="U917" s="311">
        <f t="shared" ca="1" si="408"/>
        <v>0</v>
      </c>
      <c r="V917" s="306">
        <f t="shared" ca="1" si="409"/>
        <v>1.2251624052528194</v>
      </c>
      <c r="W917" s="304">
        <f t="shared" ca="1" si="410"/>
        <v>78.354063377778928</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3.3905953836909957</v>
      </c>
      <c r="AH917" s="304">
        <f t="shared" ca="1" si="434"/>
        <v>-6.3137482812638952</v>
      </c>
    </row>
    <row r="918" spans="1:34" x14ac:dyDescent="0.25">
      <c r="A918" s="347">
        <f t="shared" ca="1" si="412"/>
        <v>1E-4</v>
      </c>
      <c r="B918" s="304">
        <f t="shared" ca="1" si="413"/>
        <v>43.902500000000373</v>
      </c>
      <c r="D918" s="306">
        <f t="shared" ca="1" si="414"/>
        <v>-0.92415105116605956</v>
      </c>
      <c r="E918" s="307">
        <f t="shared" ca="1" si="415"/>
        <v>-3.5642160427933716</v>
      </c>
      <c r="F918" s="304">
        <f t="shared" ca="1" si="416"/>
        <v>3.6820770178089668</v>
      </c>
      <c r="G918" s="306">
        <f t="shared" ca="1" si="417"/>
        <v>24.495451052209223</v>
      </c>
      <c r="H918" s="307">
        <f t="shared" ca="1" si="418"/>
        <v>-165.55107696470975</v>
      </c>
      <c r="I918" s="304">
        <f t="shared" ca="1" si="419"/>
        <v>167.35347682801941</v>
      </c>
      <c r="J918" s="306">
        <f t="shared" ca="1" si="420"/>
        <v>1638.9749615397848</v>
      </c>
      <c r="K918" s="307">
        <f t="shared" ca="1" si="421"/>
        <v>-1.3422243799684119</v>
      </c>
      <c r="L918" s="304">
        <f t="shared" ca="1" si="406"/>
        <v>1638.9755111412205</v>
      </c>
      <c r="M918" s="306">
        <f t="shared" ca="1" si="422"/>
        <v>-1.4238990472889412</v>
      </c>
      <c r="N918" s="304">
        <f t="shared" ca="1" si="423"/>
        <v>-81.58340586235515</v>
      </c>
      <c r="P918" s="310">
        <f t="shared" ca="1" si="424"/>
        <v>23</v>
      </c>
      <c r="Q918" s="304">
        <f t="shared" ca="1" si="425"/>
        <v>0</v>
      </c>
      <c r="R918" s="306">
        <f t="shared" ca="1" si="426"/>
        <v>0</v>
      </c>
      <c r="S918" s="307">
        <f t="shared" ca="1" si="427"/>
        <v>12.409999999999973</v>
      </c>
      <c r="T918" s="304">
        <f t="shared" ca="1" si="407"/>
        <v>121.74209999999975</v>
      </c>
      <c r="U918" s="311">
        <f t="shared" ca="1" si="408"/>
        <v>0</v>
      </c>
      <c r="V918" s="306">
        <f t="shared" ca="1" si="409"/>
        <v>1.2251644335218803</v>
      </c>
      <c r="W918" s="304">
        <f t="shared" ca="1" si="410"/>
        <v>78.35451058400254</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3.3905605796583496</v>
      </c>
      <c r="AH918" s="304">
        <f t="shared" ca="1" si="434"/>
        <v>-6.3137843173069372</v>
      </c>
    </row>
    <row r="919" spans="1:34" x14ac:dyDescent="0.25">
      <c r="A919" s="347">
        <f t="shared" ca="1" si="412"/>
        <v>1E-4</v>
      </c>
      <c r="B919" s="304">
        <f t="shared" ca="1" si="413"/>
        <v>43.902600000000376</v>
      </c>
      <c r="D919" s="306">
        <f t="shared" ca="1" si="414"/>
        <v>-0.92415096684695497</v>
      </c>
      <c r="E919" s="307">
        <f t="shared" ca="1" si="415"/>
        <v>-3.5641796020248089</v>
      </c>
      <c r="F919" s="304">
        <f t="shared" ca="1" si="416"/>
        <v>3.6820417223347546</v>
      </c>
      <c r="G919" s="306">
        <f t="shared" ca="1" si="417"/>
        <v>24.495358637112538</v>
      </c>
      <c r="H919" s="307">
        <f t="shared" ca="1" si="418"/>
        <v>-165.55143338266996</v>
      </c>
      <c r="I919" s="304">
        <f t="shared" ca="1" si="419"/>
        <v>167.35381588065857</v>
      </c>
      <c r="J919" s="306">
        <f t="shared" ca="1" si="420"/>
        <v>1638.9749615397848</v>
      </c>
      <c r="K919" s="307">
        <f t="shared" ca="1" si="421"/>
        <v>-1.358779505485781</v>
      </c>
      <c r="L919" s="304">
        <f t="shared" ca="1" si="406"/>
        <v>1638.9755247825037</v>
      </c>
      <c r="M919" s="306">
        <f t="shared" ca="1" si="422"/>
        <v>-1.4238999052826227</v>
      </c>
      <c r="N919" s="304">
        <f t="shared" ca="1" si="423"/>
        <v>-81.583455021771954</v>
      </c>
      <c r="P919" s="310">
        <f t="shared" ca="1" si="424"/>
        <v>23</v>
      </c>
      <c r="Q919" s="304">
        <f t="shared" ca="1" si="425"/>
        <v>0</v>
      </c>
      <c r="R919" s="306">
        <f t="shared" ca="1" si="426"/>
        <v>0</v>
      </c>
      <c r="S919" s="307">
        <f t="shared" ca="1" si="427"/>
        <v>12.409999999999973</v>
      </c>
      <c r="T919" s="304">
        <f t="shared" ca="1" si="407"/>
        <v>121.74209999999975</v>
      </c>
      <c r="U919" s="311">
        <f t="shared" ca="1" si="408"/>
        <v>0</v>
      </c>
      <c r="V919" s="306">
        <f t="shared" ca="1" si="409"/>
        <v>1.225166461798666</v>
      </c>
      <c r="W919" s="304">
        <f t="shared" ca="1" si="410"/>
        <v>78.354957789155605</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3.390525775695183</v>
      </c>
      <c r="AH919" s="304">
        <f t="shared" ca="1" si="434"/>
        <v>-6.3138203532637149</v>
      </c>
    </row>
    <row r="920" spans="1:34" x14ac:dyDescent="0.25">
      <c r="A920" s="347">
        <f t="shared" ca="1" si="412"/>
        <v>1E-4</v>
      </c>
      <c r="B920" s="304">
        <f t="shared" ca="1" si="413"/>
        <v>43.90270000000038</v>
      </c>
      <c r="D920" s="306">
        <f t="shared" ca="1" si="414"/>
        <v>-0.92415088249530353</v>
      </c>
      <c r="E920" s="307">
        <f t="shared" ca="1" si="415"/>
        <v>-3.5641431613433321</v>
      </c>
      <c r="F920" s="304">
        <f t="shared" ca="1" si="416"/>
        <v>3.6820064269589876</v>
      </c>
      <c r="G920" s="306">
        <f t="shared" ca="1" si="417"/>
        <v>24.495266222024288</v>
      </c>
      <c r="H920" s="307">
        <f t="shared" ca="1" si="418"/>
        <v>-165.5517897969861</v>
      </c>
      <c r="I920" s="304">
        <f t="shared" ca="1" si="419"/>
        <v>167.35415492981735</v>
      </c>
      <c r="J920" s="306">
        <f t="shared" ca="1" si="420"/>
        <v>1638.9749615397848</v>
      </c>
      <c r="K920" s="307">
        <f t="shared" ca="1" si="421"/>
        <v>-1.3753346666447637</v>
      </c>
      <c r="L920" s="304">
        <f t="shared" ca="1" si="406"/>
        <v>1638.9755385910385</v>
      </c>
      <c r="M920" s="306">
        <f t="shared" ca="1" si="422"/>
        <v>-1.4239007632695904</v>
      </c>
      <c r="N920" s="304">
        <f t="shared" ca="1" si="423"/>
        <v>-81.583504180804084</v>
      </c>
      <c r="P920" s="310">
        <f t="shared" ca="1" si="424"/>
        <v>23</v>
      </c>
      <c r="Q920" s="304">
        <f t="shared" ca="1" si="425"/>
        <v>0</v>
      </c>
      <c r="R920" s="306">
        <f t="shared" ca="1" si="426"/>
        <v>0</v>
      </c>
      <c r="S920" s="307">
        <f t="shared" ca="1" si="427"/>
        <v>12.409999999999973</v>
      </c>
      <c r="T920" s="304">
        <f t="shared" ca="1" si="407"/>
        <v>121.74209999999975</v>
      </c>
      <c r="U920" s="311">
        <f t="shared" ca="1" si="408"/>
        <v>0</v>
      </c>
      <c r="V920" s="306">
        <f t="shared" ca="1" si="409"/>
        <v>1.2251684900831767</v>
      </c>
      <c r="W920" s="304">
        <f t="shared" ca="1" si="410"/>
        <v>78.355404993238125</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3.3904909718014977</v>
      </c>
      <c r="AH920" s="304">
        <f t="shared" ca="1" si="434"/>
        <v>-6.3138563891342283</v>
      </c>
    </row>
    <row r="921" spans="1:34" x14ac:dyDescent="0.25">
      <c r="A921" s="347">
        <f t="shared" ca="1" si="412"/>
        <v>1E-4</v>
      </c>
      <c r="B921" s="304">
        <f t="shared" ca="1" si="413"/>
        <v>43.902800000000383</v>
      </c>
      <c r="D921" s="306">
        <f t="shared" ca="1" si="414"/>
        <v>-0.92415079811110767</v>
      </c>
      <c r="E921" s="307">
        <f t="shared" ca="1" si="415"/>
        <v>-3.5641067207489439</v>
      </c>
      <c r="F921" s="304">
        <f t="shared" ca="1" si="416"/>
        <v>3.6819711316816686</v>
      </c>
      <c r="G921" s="306">
        <f t="shared" ca="1" si="417"/>
        <v>24.495173806944475</v>
      </c>
      <c r="H921" s="307">
        <f t="shared" ca="1" si="418"/>
        <v>-165.55214620765818</v>
      </c>
      <c r="I921" s="304">
        <f t="shared" ca="1" si="419"/>
        <v>167.35449397549579</v>
      </c>
      <c r="J921" s="306">
        <f t="shared" ca="1" si="420"/>
        <v>1638.9749615397848</v>
      </c>
      <c r="K921" s="307">
        <f t="shared" ca="1" si="421"/>
        <v>-1.3918898634449959</v>
      </c>
      <c r="L921" s="304">
        <f t="shared" ca="1" si="406"/>
        <v>1638.9755525668256</v>
      </c>
      <c r="M921" s="306">
        <f t="shared" ca="1" si="422"/>
        <v>-1.423901621249845</v>
      </c>
      <c r="N921" s="304">
        <f t="shared" ca="1" si="423"/>
        <v>-81.583553339451569</v>
      </c>
      <c r="P921" s="310">
        <f t="shared" ca="1" si="424"/>
        <v>23</v>
      </c>
      <c r="Q921" s="304">
        <f t="shared" ca="1" si="425"/>
        <v>0</v>
      </c>
      <c r="R921" s="306">
        <f t="shared" ca="1" si="426"/>
        <v>0</v>
      </c>
      <c r="S921" s="307">
        <f t="shared" ca="1" si="427"/>
        <v>12.409999999999973</v>
      </c>
      <c r="T921" s="304">
        <f t="shared" ca="1" si="407"/>
        <v>121.74209999999975</v>
      </c>
      <c r="U921" s="311">
        <f t="shared" ca="1" si="408"/>
        <v>0</v>
      </c>
      <c r="V921" s="306">
        <f t="shared" ca="1" si="409"/>
        <v>1.2251705183754118</v>
      </c>
      <c r="W921" s="304">
        <f t="shared" ca="1" si="410"/>
        <v>78.355852196250041</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3.3904561679772929</v>
      </c>
      <c r="AH921" s="304">
        <f t="shared" ca="1" si="434"/>
        <v>-6.3138924249184765</v>
      </c>
    </row>
    <row r="922" spans="1:34" x14ac:dyDescent="0.25">
      <c r="A922" s="347">
        <f t="shared" ca="1" si="412"/>
        <v>1E-4</v>
      </c>
      <c r="B922" s="304">
        <f t="shared" ca="1" si="413"/>
        <v>43.902900000000386</v>
      </c>
      <c r="D922" s="306">
        <f t="shared" ca="1" si="414"/>
        <v>-0.92415071369436319</v>
      </c>
      <c r="E922" s="307">
        <f t="shared" ca="1" si="415"/>
        <v>-3.564070280241646</v>
      </c>
      <c r="F922" s="304">
        <f t="shared" ca="1" si="416"/>
        <v>3.6819358365027992</v>
      </c>
      <c r="G922" s="306">
        <f t="shared" ca="1" si="417"/>
        <v>24.495081391873107</v>
      </c>
      <c r="H922" s="307">
        <f t="shared" ca="1" si="418"/>
        <v>-165.5525026146862</v>
      </c>
      <c r="I922" s="304">
        <f t="shared" ca="1" si="419"/>
        <v>167.35483301769378</v>
      </c>
      <c r="J922" s="306">
        <f t="shared" ca="1" si="420"/>
        <v>1638.9749615397848</v>
      </c>
      <c r="K922" s="307">
        <f t="shared" ca="1" si="421"/>
        <v>-1.408445095886113</v>
      </c>
      <c r="L922" s="304">
        <f t="shared" ca="1" si="406"/>
        <v>1638.9755667098664</v>
      </c>
      <c r="M922" s="306">
        <f t="shared" ca="1" si="422"/>
        <v>-1.4239024792233861</v>
      </c>
      <c r="N922" s="304">
        <f t="shared" ca="1" si="423"/>
        <v>-81.583602497714409</v>
      </c>
      <c r="P922" s="310">
        <f t="shared" ca="1" si="424"/>
        <v>23</v>
      </c>
      <c r="Q922" s="304">
        <f t="shared" ca="1" si="425"/>
        <v>0</v>
      </c>
      <c r="R922" s="306">
        <f t="shared" ca="1" si="426"/>
        <v>0</v>
      </c>
      <c r="S922" s="307">
        <f t="shared" ca="1" si="427"/>
        <v>12.409999999999973</v>
      </c>
      <c r="T922" s="304">
        <f t="shared" ca="1" si="407"/>
        <v>121.74209999999975</v>
      </c>
      <c r="U922" s="311">
        <f t="shared" ca="1" si="408"/>
        <v>0</v>
      </c>
      <c r="V922" s="306">
        <f t="shared" ca="1" si="409"/>
        <v>1.2251725466753722</v>
      </c>
      <c r="W922" s="304">
        <f t="shared" ca="1" si="410"/>
        <v>78.356299398191297</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3.3904213642225747</v>
      </c>
      <c r="AH922" s="304">
        <f t="shared" ca="1" si="434"/>
        <v>-6.313928460616455</v>
      </c>
    </row>
    <row r="923" spans="1:34" x14ac:dyDescent="0.25">
      <c r="A923" s="347">
        <f t="shared" ca="1" si="412"/>
        <v>1E-4</v>
      </c>
      <c r="B923" s="304">
        <f t="shared" ca="1" si="413"/>
        <v>43.903000000000389</v>
      </c>
      <c r="D923" s="306">
        <f t="shared" ca="1" si="414"/>
        <v>-0.92415062924507363</v>
      </c>
      <c r="E923" s="307">
        <f t="shared" ca="1" si="415"/>
        <v>-3.5640338398214446</v>
      </c>
      <c r="F923" s="304">
        <f t="shared" ca="1" si="416"/>
        <v>3.6819005414223858</v>
      </c>
      <c r="G923" s="306">
        <f t="shared" ca="1" si="417"/>
        <v>24.494988976810184</v>
      </c>
      <c r="H923" s="307">
        <f t="shared" ca="1" si="418"/>
        <v>-165.55285901807019</v>
      </c>
      <c r="I923" s="304">
        <f t="shared" ca="1" si="419"/>
        <v>167.35517205641145</v>
      </c>
      <c r="J923" s="306">
        <f t="shared" ca="1" si="420"/>
        <v>1638.9749615397848</v>
      </c>
      <c r="K923" s="307">
        <f t="shared" ca="1" si="421"/>
        <v>-1.4250003639677509</v>
      </c>
      <c r="L923" s="304">
        <f t="shared" ca="1" si="406"/>
        <v>1638.9755810201616</v>
      </c>
      <c r="M923" s="306">
        <f t="shared" ca="1" si="422"/>
        <v>-1.4239033371902141</v>
      </c>
      <c r="N923" s="304">
        <f t="shared" ca="1" si="423"/>
        <v>-81.583651655592618</v>
      </c>
      <c r="P923" s="310">
        <f t="shared" ca="1" si="424"/>
        <v>23</v>
      </c>
      <c r="Q923" s="304">
        <f t="shared" ca="1" si="425"/>
        <v>0</v>
      </c>
      <c r="R923" s="306">
        <f t="shared" ca="1" si="426"/>
        <v>0</v>
      </c>
      <c r="S923" s="307">
        <f t="shared" ca="1" si="427"/>
        <v>12.409999999999973</v>
      </c>
      <c r="T923" s="304">
        <f t="shared" ca="1" si="407"/>
        <v>121.74209999999975</v>
      </c>
      <c r="U923" s="311">
        <f t="shared" ca="1" si="408"/>
        <v>0</v>
      </c>
      <c r="V923" s="306">
        <f t="shared" ca="1" si="409"/>
        <v>1.2251745749830569</v>
      </c>
      <c r="W923" s="304">
        <f t="shared" ca="1" si="410"/>
        <v>78.356746599061964</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3.3903865605373467</v>
      </c>
      <c r="AH923" s="304">
        <f t="shared" ca="1" si="434"/>
        <v>-6.3139644962281603</v>
      </c>
    </row>
    <row r="924" spans="1:34" x14ac:dyDescent="0.25">
      <c r="A924" s="347">
        <f t="shared" ca="1" si="412"/>
        <v>1E-4</v>
      </c>
      <c r="B924" s="304">
        <f t="shared" ca="1" si="413"/>
        <v>43.903100000000393</v>
      </c>
      <c r="D924" s="306">
        <f t="shared" ca="1" si="414"/>
        <v>-0.92415054476323744</v>
      </c>
      <c r="E924" s="307">
        <f t="shared" ca="1" si="415"/>
        <v>-3.5639973994883336</v>
      </c>
      <c r="F924" s="304">
        <f t="shared" ca="1" si="416"/>
        <v>3.6818652464404225</v>
      </c>
      <c r="G924" s="306">
        <f t="shared" ca="1" si="417"/>
        <v>24.494896561755709</v>
      </c>
      <c r="H924" s="307">
        <f t="shared" ca="1" si="418"/>
        <v>-165.55321541781015</v>
      </c>
      <c r="I924" s="304">
        <f t="shared" ca="1" si="419"/>
        <v>167.35551109164874</v>
      </c>
      <c r="J924" s="306">
        <f t="shared" ca="1" si="420"/>
        <v>1638.9749615397848</v>
      </c>
      <c r="K924" s="307">
        <f t="shared" ca="1" si="421"/>
        <v>-1.4415556676895449</v>
      </c>
      <c r="L924" s="304">
        <f t="shared" ca="1" si="406"/>
        <v>1638.9755954977127</v>
      </c>
      <c r="M924" s="306">
        <f t="shared" ca="1" si="422"/>
        <v>-1.4239041951503288</v>
      </c>
      <c r="N924" s="304">
        <f t="shared" ca="1" si="423"/>
        <v>-81.583700813086182</v>
      </c>
      <c r="P924" s="310">
        <f t="shared" ca="1" si="424"/>
        <v>23</v>
      </c>
      <c r="Q924" s="304">
        <f t="shared" ca="1" si="425"/>
        <v>0</v>
      </c>
      <c r="R924" s="306">
        <f t="shared" ca="1" si="426"/>
        <v>0</v>
      </c>
      <c r="S924" s="307">
        <f t="shared" ca="1" si="427"/>
        <v>12.409999999999973</v>
      </c>
      <c r="T924" s="304">
        <f t="shared" ca="1" si="407"/>
        <v>121.74209999999975</v>
      </c>
      <c r="U924" s="311">
        <f t="shared" ca="1" si="408"/>
        <v>0</v>
      </c>
      <c r="V924" s="306">
        <f t="shared" ca="1" si="409"/>
        <v>1.2251766032984663</v>
      </c>
      <c r="W924" s="304">
        <f t="shared" ca="1" si="410"/>
        <v>78.357193798861928</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3.3903517569216062</v>
      </c>
      <c r="AH924" s="304">
        <f t="shared" ca="1" si="434"/>
        <v>-6.3140005317535968</v>
      </c>
    </row>
    <row r="925" spans="1:34" x14ac:dyDescent="0.25">
      <c r="A925" s="347">
        <f t="shared" ca="1" si="412"/>
        <v>1E-4</v>
      </c>
      <c r="B925" s="304">
        <f t="shared" ca="1" si="413"/>
        <v>43.903200000000396</v>
      </c>
      <c r="D925" s="306">
        <f t="shared" ca="1" si="414"/>
        <v>-0.92415046024885605</v>
      </c>
      <c r="E925" s="307">
        <f t="shared" ca="1" si="415"/>
        <v>-3.5639609592423218</v>
      </c>
      <c r="F925" s="304">
        <f t="shared" ca="1" si="416"/>
        <v>3.6818299515569186</v>
      </c>
      <c r="G925" s="306">
        <f t="shared" ca="1" si="417"/>
        <v>24.494804146709683</v>
      </c>
      <c r="H925" s="307">
        <f t="shared" ca="1" si="418"/>
        <v>-165.55357181390607</v>
      </c>
      <c r="I925" s="304">
        <f t="shared" ca="1" si="419"/>
        <v>167.35585012340567</v>
      </c>
      <c r="J925" s="306">
        <f t="shared" ca="1" si="420"/>
        <v>1638.9749615397848</v>
      </c>
      <c r="K925" s="307">
        <f t="shared" ca="1" si="421"/>
        <v>-1.4581110070511307</v>
      </c>
      <c r="L925" s="304">
        <f t="shared" ca="1" si="406"/>
        <v>1638.9756101425207</v>
      </c>
      <c r="M925" s="306">
        <f t="shared" ca="1" si="422"/>
        <v>-1.4239050531037307</v>
      </c>
      <c r="N925" s="304">
        <f t="shared" ca="1" si="423"/>
        <v>-81.583749970195129</v>
      </c>
      <c r="P925" s="310">
        <f t="shared" ca="1" si="424"/>
        <v>23</v>
      </c>
      <c r="Q925" s="304">
        <f t="shared" ca="1" si="425"/>
        <v>0</v>
      </c>
      <c r="R925" s="306">
        <f t="shared" ca="1" si="426"/>
        <v>0</v>
      </c>
      <c r="S925" s="307">
        <f t="shared" ca="1" si="427"/>
        <v>12.409999999999973</v>
      </c>
      <c r="T925" s="304">
        <f t="shared" ca="1" si="407"/>
        <v>121.74209999999975</v>
      </c>
      <c r="U925" s="311">
        <f t="shared" ca="1" si="408"/>
        <v>0</v>
      </c>
      <c r="V925" s="306">
        <f t="shared" ca="1" si="409"/>
        <v>1.2251786316216005</v>
      </c>
      <c r="W925" s="304">
        <f t="shared" ca="1" si="410"/>
        <v>78.357640997591218</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3.3903169533753585</v>
      </c>
      <c r="AH925" s="304">
        <f t="shared" ca="1" si="434"/>
        <v>-6.3140365671927556</v>
      </c>
    </row>
    <row r="926" spans="1:34" x14ac:dyDescent="0.25">
      <c r="A926" s="347">
        <f t="shared" ca="1" si="412"/>
        <v>1E-4</v>
      </c>
      <c r="B926" s="304">
        <f t="shared" ca="1" si="413"/>
        <v>43.903300000000399</v>
      </c>
      <c r="D926" s="306">
        <f t="shared" ca="1" si="414"/>
        <v>-0.92415037570192771</v>
      </c>
      <c r="E926" s="307">
        <f t="shared" ca="1" si="415"/>
        <v>-3.5639245190834075</v>
      </c>
      <c r="F926" s="304">
        <f t="shared" ca="1" si="416"/>
        <v>3.6817946567718729</v>
      </c>
      <c r="G926" s="306">
        <f t="shared" ca="1" si="417"/>
        <v>24.494711731672112</v>
      </c>
      <c r="H926" s="307">
        <f t="shared" ca="1" si="418"/>
        <v>-165.55392820635799</v>
      </c>
      <c r="I926" s="304">
        <f t="shared" ca="1" si="419"/>
        <v>167.35618915168229</v>
      </c>
      <c r="J926" s="306">
        <f t="shared" ca="1" si="420"/>
        <v>1638.9749615397848</v>
      </c>
      <c r="K926" s="307">
        <f t="shared" ca="1" si="421"/>
        <v>-1.474666382052144</v>
      </c>
      <c r="L926" s="304">
        <f t="shared" ca="1" si="406"/>
        <v>1638.9756249545865</v>
      </c>
      <c r="M926" s="306">
        <f t="shared" ca="1" si="422"/>
        <v>-1.4239059110504195</v>
      </c>
      <c r="N926" s="304">
        <f t="shared" ca="1" si="423"/>
        <v>-81.583799126919445</v>
      </c>
      <c r="P926" s="310">
        <f t="shared" ca="1" si="424"/>
        <v>23</v>
      </c>
      <c r="Q926" s="304">
        <f t="shared" ca="1" si="425"/>
        <v>0</v>
      </c>
      <c r="R926" s="306">
        <f t="shared" ca="1" si="426"/>
        <v>0</v>
      </c>
      <c r="S926" s="307">
        <f t="shared" ca="1" si="427"/>
        <v>12.409999999999973</v>
      </c>
      <c r="T926" s="304">
        <f t="shared" ca="1" si="407"/>
        <v>121.74209999999975</v>
      </c>
      <c r="U926" s="311">
        <f t="shared" ca="1" si="408"/>
        <v>0</v>
      </c>
      <c r="V926" s="306">
        <f t="shared" ca="1" si="409"/>
        <v>1.2251806599524593</v>
      </c>
      <c r="W926" s="304">
        <f t="shared" ca="1" si="410"/>
        <v>78.35808819524982</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3.3902821498986064</v>
      </c>
      <c r="AH926" s="304">
        <f t="shared" ca="1" si="434"/>
        <v>-6.3140726025456395</v>
      </c>
    </row>
    <row r="927" spans="1:34" x14ac:dyDescent="0.25">
      <c r="A927" s="347">
        <f t="shared" ca="1" si="412"/>
        <v>1E-4</v>
      </c>
      <c r="B927" s="304">
        <f t="shared" ca="1" si="413"/>
        <v>43.903400000000403</v>
      </c>
      <c r="D927" s="306">
        <f t="shared" ca="1" si="414"/>
        <v>-0.92415029112245484</v>
      </c>
      <c r="E927" s="307">
        <f t="shared" ca="1" si="415"/>
        <v>-3.5638880790115905</v>
      </c>
      <c r="F927" s="304">
        <f t="shared" ca="1" si="416"/>
        <v>3.6817593620852849</v>
      </c>
      <c r="G927" s="306">
        <f t="shared" ca="1" si="417"/>
        <v>24.494619316643</v>
      </c>
      <c r="H927" s="307">
        <f t="shared" ca="1" si="418"/>
        <v>-165.55428459516588</v>
      </c>
      <c r="I927" s="304">
        <f t="shared" ca="1" si="419"/>
        <v>167.35652817647849</v>
      </c>
      <c r="J927" s="306">
        <f t="shared" ca="1" si="420"/>
        <v>1638.9749615397848</v>
      </c>
      <c r="K927" s="307">
        <f t="shared" ca="1" si="421"/>
        <v>-1.4912217926922202</v>
      </c>
      <c r="L927" s="304">
        <f t="shared" ca="1" si="406"/>
        <v>1638.9756399339115</v>
      </c>
      <c r="M927" s="306">
        <f t="shared" ca="1" si="422"/>
        <v>-1.4239067689903953</v>
      </c>
      <c r="N927" s="304">
        <f t="shared" ca="1" si="423"/>
        <v>-81.58384828325913</v>
      </c>
      <c r="P927" s="310">
        <f t="shared" ca="1" si="424"/>
        <v>23</v>
      </c>
      <c r="Q927" s="304">
        <f t="shared" ca="1" si="425"/>
        <v>0</v>
      </c>
      <c r="R927" s="306">
        <f t="shared" ca="1" si="426"/>
        <v>0</v>
      </c>
      <c r="S927" s="307">
        <f t="shared" ca="1" si="427"/>
        <v>12.409999999999973</v>
      </c>
      <c r="T927" s="304">
        <f t="shared" ca="1" si="407"/>
        <v>121.74209999999975</v>
      </c>
      <c r="U927" s="311">
        <f t="shared" ca="1" si="408"/>
        <v>0</v>
      </c>
      <c r="V927" s="306">
        <f t="shared" ca="1" si="409"/>
        <v>1.2251826882910433</v>
      </c>
      <c r="W927" s="304">
        <f t="shared" ca="1" si="410"/>
        <v>78.358535391837677</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3.3902473464913472</v>
      </c>
      <c r="AH927" s="304">
        <f t="shared" ca="1" si="434"/>
        <v>-6.3141086378122475</v>
      </c>
    </row>
    <row r="928" spans="1:34" x14ac:dyDescent="0.25">
      <c r="A928" s="347">
        <f t="shared" ca="1" si="412"/>
        <v>1E-4</v>
      </c>
      <c r="B928" s="304">
        <f t="shared" ca="1" si="413"/>
        <v>43.903500000000406</v>
      </c>
      <c r="D928" s="306">
        <f t="shared" ca="1" si="414"/>
        <v>-0.92415020651043744</v>
      </c>
      <c r="E928" s="307">
        <f t="shared" ca="1" si="415"/>
        <v>-3.5638516390268782</v>
      </c>
      <c r="F928" s="304">
        <f t="shared" ca="1" si="416"/>
        <v>3.6817240674971625</v>
      </c>
      <c r="G928" s="306">
        <f t="shared" ca="1" si="417"/>
        <v>24.494526901622351</v>
      </c>
      <c r="H928" s="307">
        <f t="shared" ca="1" si="418"/>
        <v>-165.55464098032979</v>
      </c>
      <c r="I928" s="304">
        <f t="shared" ca="1" si="419"/>
        <v>167.3568671977944</v>
      </c>
      <c r="J928" s="306">
        <f t="shared" ca="1" si="420"/>
        <v>1638.9749615397848</v>
      </c>
      <c r="K928" s="307">
        <f t="shared" ca="1" si="421"/>
        <v>-1.5077772389709949</v>
      </c>
      <c r="L928" s="304">
        <f t="shared" ca="1" si="406"/>
        <v>1638.9756550804962</v>
      </c>
      <c r="M928" s="306">
        <f t="shared" ca="1" si="422"/>
        <v>-1.4239076269236584</v>
      </c>
      <c r="N928" s="304">
        <f t="shared" ca="1" si="423"/>
        <v>-81.583897439214212</v>
      </c>
      <c r="P928" s="310">
        <f t="shared" ca="1" si="424"/>
        <v>23</v>
      </c>
      <c r="Q928" s="304">
        <f t="shared" ca="1" si="425"/>
        <v>0</v>
      </c>
      <c r="R928" s="306">
        <f t="shared" ca="1" si="426"/>
        <v>0</v>
      </c>
      <c r="S928" s="307">
        <f t="shared" ca="1" si="427"/>
        <v>12.409999999999973</v>
      </c>
      <c r="T928" s="304">
        <f t="shared" ca="1" si="407"/>
        <v>121.74209999999975</v>
      </c>
      <c r="U928" s="311">
        <f t="shared" ca="1" si="408"/>
        <v>0</v>
      </c>
      <c r="V928" s="306">
        <f t="shared" ca="1" si="409"/>
        <v>1.2251847166373511</v>
      </c>
      <c r="W928" s="304">
        <f t="shared" ca="1" si="410"/>
        <v>78.35898258735476</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3.3902125431535879</v>
      </c>
      <c r="AH928" s="304">
        <f t="shared" ca="1" si="434"/>
        <v>-6.3141446729925743</v>
      </c>
    </row>
    <row r="929" spans="1:34" x14ac:dyDescent="0.25">
      <c r="A929" s="347">
        <f t="shared" ca="1" si="412"/>
        <v>1E-4</v>
      </c>
      <c r="B929" s="304">
        <f t="shared" ca="1" si="413"/>
        <v>43.903600000000409</v>
      </c>
      <c r="D929" s="306">
        <f t="shared" ca="1" si="414"/>
        <v>-0.92415012186587364</v>
      </c>
      <c r="E929" s="307">
        <f t="shared" ca="1" si="415"/>
        <v>-3.5638151991292712</v>
      </c>
      <c r="F929" s="304">
        <f t="shared" ca="1" si="416"/>
        <v>3.6816887730075063</v>
      </c>
      <c r="G929" s="306">
        <f t="shared" ca="1" si="417"/>
        <v>24.494434486610164</v>
      </c>
      <c r="H929" s="307">
        <f t="shared" ca="1" si="418"/>
        <v>-165.5549973618497</v>
      </c>
      <c r="I929" s="304">
        <f t="shared" ca="1" si="419"/>
        <v>167.35720621562999</v>
      </c>
      <c r="J929" s="306">
        <f t="shared" ca="1" si="420"/>
        <v>1638.9749615397848</v>
      </c>
      <c r="K929" s="307">
        <f t="shared" ca="1" si="421"/>
        <v>-1.5243327208881039</v>
      </c>
      <c r="L929" s="304">
        <f t="shared" ca="1" si="406"/>
        <v>1638.9756703943422</v>
      </c>
      <c r="M929" s="306">
        <f t="shared" ca="1" si="422"/>
        <v>-1.4239084848502086</v>
      </c>
      <c r="N929" s="304">
        <f t="shared" ca="1" si="423"/>
        <v>-81.583946594784678</v>
      </c>
      <c r="P929" s="310">
        <f t="shared" ca="1" si="424"/>
        <v>23</v>
      </c>
      <c r="Q929" s="304">
        <f t="shared" ca="1" si="425"/>
        <v>0</v>
      </c>
      <c r="R929" s="306">
        <f t="shared" ca="1" si="426"/>
        <v>0</v>
      </c>
      <c r="S929" s="307">
        <f t="shared" ca="1" si="427"/>
        <v>12.409999999999973</v>
      </c>
      <c r="T929" s="304">
        <f t="shared" ca="1" si="407"/>
        <v>121.74209999999975</v>
      </c>
      <c r="U929" s="311">
        <f t="shared" ca="1" si="408"/>
        <v>0</v>
      </c>
      <c r="V929" s="306">
        <f t="shared" ca="1" si="409"/>
        <v>1.2251867449913838</v>
      </c>
      <c r="W929" s="304">
        <f t="shared" ca="1" si="410"/>
        <v>78.359429781801111</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3.3901777398853286</v>
      </c>
      <c r="AH929" s="304">
        <f t="shared" ca="1" si="434"/>
        <v>-6.3141807080866181</v>
      </c>
    </row>
    <row r="930" spans="1:34" x14ac:dyDescent="0.25">
      <c r="A930" s="347">
        <f t="shared" ca="1" si="412"/>
        <v>1E-4</v>
      </c>
      <c r="B930" s="304">
        <f t="shared" ca="1" si="413"/>
        <v>43.903700000000413</v>
      </c>
      <c r="D930" s="306">
        <f t="shared" ca="1" si="414"/>
        <v>-0.92415003718876576</v>
      </c>
      <c r="E930" s="307">
        <f t="shared" ca="1" si="415"/>
        <v>-3.5637787593187662</v>
      </c>
      <c r="F930" s="304">
        <f t="shared" ca="1" si="416"/>
        <v>3.6816534786163135</v>
      </c>
      <c r="G930" s="306">
        <f t="shared" ca="1" si="417"/>
        <v>24.494342071606447</v>
      </c>
      <c r="H930" s="307">
        <f t="shared" ca="1" si="418"/>
        <v>-165.55535373972563</v>
      </c>
      <c r="I930" s="304">
        <f t="shared" ca="1" si="419"/>
        <v>167.35754522998522</v>
      </c>
      <c r="J930" s="306">
        <f t="shared" ca="1" si="420"/>
        <v>1638.9749615397848</v>
      </c>
      <c r="K930" s="307">
        <f t="shared" ca="1" si="421"/>
        <v>-1.5408882384431826</v>
      </c>
      <c r="L930" s="304">
        <f t="shared" ca="1" si="406"/>
        <v>1638.9756858754504</v>
      </c>
      <c r="M930" s="306">
        <f t="shared" ca="1" si="422"/>
        <v>-1.4239093427700462</v>
      </c>
      <c r="N930" s="304">
        <f t="shared" ca="1" si="423"/>
        <v>-81.583995749970526</v>
      </c>
      <c r="P930" s="310">
        <f t="shared" ca="1" si="424"/>
        <v>23</v>
      </c>
      <c r="Q930" s="304">
        <f t="shared" ca="1" si="425"/>
        <v>0</v>
      </c>
      <c r="R930" s="306">
        <f t="shared" ca="1" si="426"/>
        <v>0</v>
      </c>
      <c r="S930" s="307">
        <f t="shared" ca="1" si="427"/>
        <v>12.409999999999973</v>
      </c>
      <c r="T930" s="304">
        <f t="shared" ca="1" si="407"/>
        <v>121.74209999999975</v>
      </c>
      <c r="U930" s="311">
        <f t="shared" ca="1" si="408"/>
        <v>0</v>
      </c>
      <c r="V930" s="306">
        <f t="shared" ca="1" si="409"/>
        <v>1.2251887733531415</v>
      </c>
      <c r="W930" s="304">
        <f t="shared" ca="1" si="410"/>
        <v>78.359876975176647</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3.3901429366865701</v>
      </c>
      <c r="AH930" s="304">
        <f t="shared" ca="1" si="434"/>
        <v>-6.3142167430943816</v>
      </c>
    </row>
    <row r="931" spans="1:34" x14ac:dyDescent="0.25">
      <c r="A931" s="347">
        <f t="shared" ca="1" si="412"/>
        <v>1E-4</v>
      </c>
      <c r="B931" s="304">
        <f t="shared" ca="1" si="413"/>
        <v>43.903800000000416</v>
      </c>
      <c r="D931" s="306">
        <f t="shared" ca="1" si="414"/>
        <v>-0.92414995247911302</v>
      </c>
      <c r="E931" s="307">
        <f t="shared" ca="1" si="415"/>
        <v>-3.5637423195953692</v>
      </c>
      <c r="F931" s="304">
        <f t="shared" ca="1" si="416"/>
        <v>3.6816181843235904</v>
      </c>
      <c r="G931" s="306">
        <f t="shared" ca="1" si="417"/>
        <v>24.494249656611199</v>
      </c>
      <c r="H931" s="307">
        <f t="shared" ca="1" si="418"/>
        <v>-165.55571011395759</v>
      </c>
      <c r="I931" s="304">
        <f t="shared" ca="1" si="419"/>
        <v>167.35788424086019</v>
      </c>
      <c r="J931" s="306">
        <f t="shared" ca="1" si="420"/>
        <v>1638.9749615397848</v>
      </c>
      <c r="K931" s="307">
        <f t="shared" ca="1" si="421"/>
        <v>-1.5574437916358668</v>
      </c>
      <c r="L931" s="304">
        <f t="shared" ca="1" si="406"/>
        <v>1638.9757015238217</v>
      </c>
      <c r="M931" s="306">
        <f t="shared" ca="1" si="422"/>
        <v>-1.4239102006831714</v>
      </c>
      <c r="N931" s="304">
        <f t="shared" ca="1" si="423"/>
        <v>-81.584044904771787</v>
      </c>
      <c r="P931" s="310">
        <f t="shared" ca="1" si="424"/>
        <v>23</v>
      </c>
      <c r="Q931" s="304">
        <f t="shared" ca="1" si="425"/>
        <v>0</v>
      </c>
      <c r="R931" s="306">
        <f t="shared" ca="1" si="426"/>
        <v>0</v>
      </c>
      <c r="S931" s="307">
        <f t="shared" ca="1" si="427"/>
        <v>12.409999999999973</v>
      </c>
      <c r="T931" s="304">
        <f t="shared" ca="1" si="407"/>
        <v>121.74209999999975</v>
      </c>
      <c r="U931" s="311">
        <f t="shared" ca="1" si="408"/>
        <v>0</v>
      </c>
      <c r="V931" s="306">
        <f t="shared" ca="1" si="409"/>
        <v>1.2251908017226236</v>
      </c>
      <c r="W931" s="304">
        <f t="shared" ca="1" si="410"/>
        <v>78.360324167481409</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3.390108133557316</v>
      </c>
      <c r="AH931" s="304">
        <f t="shared" ca="1" si="434"/>
        <v>-6.3142527780158595</v>
      </c>
    </row>
    <row r="932" spans="1:34" x14ac:dyDescent="0.25">
      <c r="A932" s="347">
        <f t="shared" ca="1" si="412"/>
        <v>1E-4</v>
      </c>
      <c r="B932" s="304">
        <f t="shared" ca="1" si="413"/>
        <v>43.903900000000419</v>
      </c>
      <c r="D932" s="306">
        <f t="shared" ca="1" si="414"/>
        <v>-0.92414986773691488</v>
      </c>
      <c r="E932" s="307">
        <f t="shared" ca="1" si="415"/>
        <v>-3.5637058799590777</v>
      </c>
      <c r="F932" s="304">
        <f t="shared" ca="1" si="416"/>
        <v>3.6815828901293344</v>
      </c>
      <c r="G932" s="306">
        <f t="shared" ca="1" si="417"/>
        <v>24.494157241624425</v>
      </c>
      <c r="H932" s="307">
        <f t="shared" ca="1" si="418"/>
        <v>-165.5560664845456</v>
      </c>
      <c r="I932" s="304">
        <f t="shared" ca="1" si="419"/>
        <v>167.35822324825483</v>
      </c>
      <c r="J932" s="306">
        <f t="shared" ca="1" si="420"/>
        <v>1638.9749615397848</v>
      </c>
      <c r="K932" s="307">
        <f t="shared" ca="1" si="421"/>
        <v>-1.5739993804657919</v>
      </c>
      <c r="L932" s="304">
        <f t="shared" ca="1" si="406"/>
        <v>1638.9757173394573</v>
      </c>
      <c r="M932" s="306">
        <f t="shared" ca="1" si="422"/>
        <v>-1.423911058589584</v>
      </c>
      <c r="N932" s="304">
        <f t="shared" ca="1" si="423"/>
        <v>-81.584094059188445</v>
      </c>
      <c r="P932" s="310">
        <f t="shared" ca="1" si="424"/>
        <v>23</v>
      </c>
      <c r="Q932" s="304">
        <f t="shared" ca="1" si="425"/>
        <v>0</v>
      </c>
      <c r="R932" s="306">
        <f t="shared" ca="1" si="426"/>
        <v>0</v>
      </c>
      <c r="S932" s="307">
        <f t="shared" ca="1" si="427"/>
        <v>12.409999999999973</v>
      </c>
      <c r="T932" s="304">
        <f t="shared" ca="1" si="407"/>
        <v>121.74209999999975</v>
      </c>
      <c r="U932" s="311">
        <f t="shared" ca="1" si="408"/>
        <v>0</v>
      </c>
      <c r="V932" s="306">
        <f t="shared" ca="1" si="409"/>
        <v>1.2251928300998303</v>
      </c>
      <c r="W932" s="304">
        <f t="shared" ca="1" si="410"/>
        <v>78.360771358715311</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3.3900733304975663</v>
      </c>
      <c r="AH932" s="304">
        <f t="shared" ca="1" si="434"/>
        <v>-6.3142888128510535</v>
      </c>
    </row>
    <row r="933" spans="1:34" x14ac:dyDescent="0.25">
      <c r="A933" s="347">
        <f t="shared" ca="1" si="412"/>
        <v>1E-4</v>
      </c>
      <c r="B933" s="304">
        <f t="shared" ca="1" si="413"/>
        <v>43.904000000000423</v>
      </c>
      <c r="D933" s="306">
        <f t="shared" ca="1" si="414"/>
        <v>-0.92414978296217321</v>
      </c>
      <c r="E933" s="307">
        <f t="shared" ca="1" si="415"/>
        <v>-3.5636694404098979</v>
      </c>
      <c r="F933" s="304">
        <f t="shared" ca="1" si="416"/>
        <v>3.681547596033552</v>
      </c>
      <c r="G933" s="306">
        <f t="shared" ca="1" si="417"/>
        <v>24.494064826646127</v>
      </c>
      <c r="H933" s="307">
        <f t="shared" ca="1" si="418"/>
        <v>-165.55642285148963</v>
      </c>
      <c r="I933" s="304">
        <f t="shared" ca="1" si="419"/>
        <v>167.35856225216918</v>
      </c>
      <c r="J933" s="306">
        <f t="shared" ca="1" si="420"/>
        <v>1638.9749615397848</v>
      </c>
      <c r="K933" s="307">
        <f t="shared" ca="1" si="421"/>
        <v>-1.5905550049325936</v>
      </c>
      <c r="L933" s="304">
        <f t="shared" ca="1" si="406"/>
        <v>1638.9757333223586</v>
      </c>
      <c r="M933" s="306">
        <f t="shared" ca="1" si="422"/>
        <v>-1.4239119164892844</v>
      </c>
      <c r="N933" s="304">
        <f t="shared" ca="1" si="423"/>
        <v>-81.584143213220528</v>
      </c>
      <c r="P933" s="310">
        <f t="shared" ca="1" si="424"/>
        <v>23</v>
      </c>
      <c r="Q933" s="304">
        <f t="shared" ca="1" si="425"/>
        <v>0</v>
      </c>
      <c r="R933" s="306">
        <f t="shared" ca="1" si="426"/>
        <v>0</v>
      </c>
      <c r="S933" s="307">
        <f t="shared" ca="1" si="427"/>
        <v>12.409999999999973</v>
      </c>
      <c r="T933" s="304">
        <f t="shared" ca="1" si="407"/>
        <v>121.74209999999975</v>
      </c>
      <c r="U933" s="311">
        <f t="shared" ca="1" si="408"/>
        <v>0</v>
      </c>
      <c r="V933" s="306">
        <f t="shared" ca="1" si="409"/>
        <v>1.2251948584847612</v>
      </c>
      <c r="W933" s="304">
        <f t="shared" ca="1" si="410"/>
        <v>78.361218548878369</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3.3900385275073246</v>
      </c>
      <c r="AH933" s="304">
        <f t="shared" ca="1" si="434"/>
        <v>-6.3143248475999583</v>
      </c>
    </row>
    <row r="934" spans="1:34" x14ac:dyDescent="0.25">
      <c r="A934" s="347">
        <f t="shared" ca="1" si="412"/>
        <v>1E-4</v>
      </c>
      <c r="B934" s="304">
        <f t="shared" ca="1" si="413"/>
        <v>43.904100000000426</v>
      </c>
      <c r="D934" s="306">
        <f t="shared" ca="1" si="414"/>
        <v>-0.92414969815488601</v>
      </c>
      <c r="E934" s="307">
        <f t="shared" ca="1" si="415"/>
        <v>-3.5636330009478296</v>
      </c>
      <c r="F934" s="304">
        <f t="shared" ca="1" si="416"/>
        <v>3.6815123020362437</v>
      </c>
      <c r="G934" s="306">
        <f t="shared" ca="1" si="417"/>
        <v>24.49397241167631</v>
      </c>
      <c r="H934" s="307">
        <f t="shared" ca="1" si="418"/>
        <v>-165.55677921478971</v>
      </c>
      <c r="I934" s="304">
        <f t="shared" ca="1" si="419"/>
        <v>167.3589012526032</v>
      </c>
      <c r="J934" s="306">
        <f t="shared" ca="1" si="420"/>
        <v>1638.9749615397848</v>
      </c>
      <c r="K934" s="307">
        <f t="shared" ca="1" si="421"/>
        <v>-1.6071106650359075</v>
      </c>
      <c r="L934" s="304">
        <f t="shared" ca="1" si="406"/>
        <v>1638.9757494725261</v>
      </c>
      <c r="M934" s="306">
        <f t="shared" ca="1" si="422"/>
        <v>-1.4239127743822722</v>
      </c>
      <c r="N934" s="304">
        <f t="shared" ca="1" si="423"/>
        <v>-81.584192366867995</v>
      </c>
      <c r="P934" s="310">
        <f t="shared" ca="1" si="424"/>
        <v>23</v>
      </c>
      <c r="Q934" s="304">
        <f t="shared" ca="1" si="425"/>
        <v>0</v>
      </c>
      <c r="R934" s="306">
        <f t="shared" ca="1" si="426"/>
        <v>0</v>
      </c>
      <c r="S934" s="307">
        <f t="shared" ca="1" si="427"/>
        <v>12.409999999999973</v>
      </c>
      <c r="T934" s="304">
        <f t="shared" ca="1" si="407"/>
        <v>121.74209999999975</v>
      </c>
      <c r="U934" s="311">
        <f t="shared" ca="1" si="408"/>
        <v>0</v>
      </c>
      <c r="V934" s="306">
        <f t="shared" ca="1" si="409"/>
        <v>1.2251968868774168</v>
      </c>
      <c r="W934" s="304">
        <f t="shared" ca="1" si="410"/>
        <v>78.361665737970512</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3.3900037245865944</v>
      </c>
      <c r="AH934" s="304">
        <f t="shared" ca="1" si="434"/>
        <v>-6.3143608822625739</v>
      </c>
    </row>
    <row r="935" spans="1:34" x14ac:dyDescent="0.25">
      <c r="A935" s="347">
        <f t="shared" ca="1" si="412"/>
        <v>1E-4</v>
      </c>
      <c r="B935" s="304">
        <f t="shared" ca="1" si="413"/>
        <v>43.904200000000429</v>
      </c>
      <c r="D935" s="306">
        <f t="shared" ca="1" si="414"/>
        <v>-0.92414961331505618</v>
      </c>
      <c r="E935" s="307">
        <f t="shared" ca="1" si="415"/>
        <v>-3.5635965615728793</v>
      </c>
      <c r="F935" s="304">
        <f t="shared" ca="1" si="416"/>
        <v>3.6814770081374153</v>
      </c>
      <c r="G935" s="306">
        <f t="shared" ca="1" si="417"/>
        <v>24.493879996714977</v>
      </c>
      <c r="H935" s="307">
        <f t="shared" ca="1" si="418"/>
        <v>-165.55713557444588</v>
      </c>
      <c r="I935" s="304">
        <f t="shared" ca="1" si="419"/>
        <v>167.35924024955696</v>
      </c>
      <c r="J935" s="306">
        <f t="shared" ca="1" si="420"/>
        <v>1638.9749615397848</v>
      </c>
      <c r="K935" s="307">
        <f t="shared" ca="1" si="421"/>
        <v>-1.6236663607753692</v>
      </c>
      <c r="L935" s="304">
        <f t="shared" ca="1" si="406"/>
        <v>1638.9757657899613</v>
      </c>
      <c r="M935" s="306">
        <f t="shared" ca="1" si="422"/>
        <v>-1.4239136322685479</v>
      </c>
      <c r="N935" s="304">
        <f t="shared" ca="1" si="423"/>
        <v>-81.584241520130902</v>
      </c>
      <c r="P935" s="310">
        <f t="shared" ca="1" si="424"/>
        <v>23</v>
      </c>
      <c r="Q935" s="304">
        <f t="shared" ca="1" si="425"/>
        <v>0</v>
      </c>
      <c r="R935" s="306">
        <f t="shared" ca="1" si="426"/>
        <v>0</v>
      </c>
      <c r="S935" s="307">
        <f t="shared" ca="1" si="427"/>
        <v>12.409999999999973</v>
      </c>
      <c r="T935" s="304">
        <f t="shared" ca="1" si="407"/>
        <v>121.74209999999975</v>
      </c>
      <c r="U935" s="311">
        <f t="shared" ca="1" si="408"/>
        <v>0</v>
      </c>
      <c r="V935" s="306">
        <f t="shared" ca="1" si="409"/>
        <v>1.2251989152777971</v>
      </c>
      <c r="W935" s="304">
        <f t="shared" ca="1" si="410"/>
        <v>78.362112925991795</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3.3899689217353783</v>
      </c>
      <c r="AH935" s="304">
        <f t="shared" ca="1" si="434"/>
        <v>-6.314396916838894</v>
      </c>
    </row>
    <row r="936" spans="1:34" x14ac:dyDescent="0.25">
      <c r="A936" s="347">
        <f t="shared" ca="1" si="412"/>
        <v>1E-4</v>
      </c>
      <c r="B936" s="304">
        <f t="shared" ca="1" si="413"/>
        <v>43.904300000000433</v>
      </c>
      <c r="D936" s="306">
        <f t="shared" ca="1" si="414"/>
        <v>-0.92414952844268128</v>
      </c>
      <c r="E936" s="307">
        <f t="shared" ca="1" si="415"/>
        <v>-3.5635601222850397</v>
      </c>
      <c r="F936" s="304">
        <f t="shared" ca="1" si="416"/>
        <v>3.681441714337061</v>
      </c>
      <c r="G936" s="306">
        <f t="shared" ca="1" si="417"/>
        <v>24.493787581762131</v>
      </c>
      <c r="H936" s="307">
        <f t="shared" ca="1" si="418"/>
        <v>-165.5574919304581</v>
      </c>
      <c r="I936" s="304">
        <f t="shared" ca="1" si="419"/>
        <v>167.35957924303045</v>
      </c>
      <c r="J936" s="306">
        <f t="shared" ca="1" si="420"/>
        <v>1638.9749615397848</v>
      </c>
      <c r="K936" s="307">
        <f t="shared" ca="1" si="421"/>
        <v>-1.6402220921506143</v>
      </c>
      <c r="L936" s="304">
        <f t="shared" ca="1" si="406"/>
        <v>1638.9757822746651</v>
      </c>
      <c r="M936" s="306">
        <f t="shared" ca="1" si="422"/>
        <v>-1.4239144901481116</v>
      </c>
      <c r="N936" s="304">
        <f t="shared" ca="1" si="423"/>
        <v>-81.584290673009235</v>
      </c>
      <c r="P936" s="310">
        <f t="shared" ca="1" si="424"/>
        <v>23</v>
      </c>
      <c r="Q936" s="304">
        <f t="shared" ca="1" si="425"/>
        <v>0</v>
      </c>
      <c r="R936" s="306">
        <f t="shared" ca="1" si="426"/>
        <v>0</v>
      </c>
      <c r="S936" s="307">
        <f t="shared" ca="1" si="427"/>
        <v>12.409999999999973</v>
      </c>
      <c r="T936" s="304">
        <f t="shared" ca="1" si="407"/>
        <v>121.74209999999975</v>
      </c>
      <c r="U936" s="311">
        <f t="shared" ca="1" si="408"/>
        <v>0</v>
      </c>
      <c r="V936" s="306">
        <f t="shared" ca="1" si="409"/>
        <v>1.2252009436859024</v>
      </c>
      <c r="W936" s="304">
        <f t="shared" ca="1" si="410"/>
        <v>78.362560112942191</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3.389934118953672</v>
      </c>
      <c r="AH936" s="304">
        <f t="shared" ca="1" si="434"/>
        <v>-6.314432951328925</v>
      </c>
    </row>
    <row r="937" spans="1:34" x14ac:dyDescent="0.25">
      <c r="A937" s="347">
        <f t="shared" ca="1" si="412"/>
        <v>1E-4</v>
      </c>
      <c r="B937" s="304">
        <f t="shared" ca="1" si="413"/>
        <v>43.904400000000436</v>
      </c>
      <c r="D937" s="306">
        <f t="shared" ca="1" si="414"/>
        <v>-0.92414944353776329</v>
      </c>
      <c r="E937" s="307">
        <f t="shared" ca="1" si="415"/>
        <v>-3.5635236830843153</v>
      </c>
      <c r="F937" s="304">
        <f t="shared" ca="1" si="416"/>
        <v>3.6814064206351844</v>
      </c>
      <c r="G937" s="306">
        <f t="shared" ca="1" si="417"/>
        <v>24.493695166817776</v>
      </c>
      <c r="H937" s="307">
        <f t="shared" ca="1" si="418"/>
        <v>-165.5578482828264</v>
      </c>
      <c r="I937" s="304">
        <f t="shared" ca="1" si="419"/>
        <v>167.35991823302365</v>
      </c>
      <c r="J937" s="306">
        <f t="shared" ca="1" si="420"/>
        <v>1638.9749615397848</v>
      </c>
      <c r="K937" s="307">
        <f t="shared" ca="1" si="421"/>
        <v>-1.6567778591612785</v>
      </c>
      <c r="L937" s="304">
        <f t="shared" ca="1" si="406"/>
        <v>1638.9757989266386</v>
      </c>
      <c r="M937" s="306">
        <f t="shared" ca="1" si="422"/>
        <v>-1.423915348020963</v>
      </c>
      <c r="N937" s="304">
        <f t="shared" ca="1" si="423"/>
        <v>-81.58433982550298</v>
      </c>
      <c r="P937" s="310">
        <f t="shared" ca="1" si="424"/>
        <v>23</v>
      </c>
      <c r="Q937" s="304">
        <f t="shared" ca="1" si="425"/>
        <v>0</v>
      </c>
      <c r="R937" s="306">
        <f t="shared" ca="1" si="426"/>
        <v>0</v>
      </c>
      <c r="S937" s="307">
        <f t="shared" ca="1" si="427"/>
        <v>12.409999999999973</v>
      </c>
      <c r="T937" s="304">
        <f t="shared" ca="1" si="407"/>
        <v>121.74209999999975</v>
      </c>
      <c r="U937" s="311">
        <f t="shared" ca="1" si="408"/>
        <v>0</v>
      </c>
      <c r="V937" s="306">
        <f t="shared" ca="1" si="409"/>
        <v>1.2252029721017315</v>
      </c>
      <c r="W937" s="304">
        <f t="shared" ca="1" si="410"/>
        <v>78.3630072988216</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3.3898993162414781</v>
      </c>
      <c r="AH937" s="304">
        <f t="shared" ca="1" si="434"/>
        <v>-6.3144689857326641</v>
      </c>
    </row>
    <row r="938" spans="1:34" x14ac:dyDescent="0.25">
      <c r="A938" s="347">
        <f t="shared" ca="1" si="412"/>
        <v>1E-4</v>
      </c>
      <c r="B938" s="304">
        <f t="shared" ca="1" si="413"/>
        <v>43.904500000000439</v>
      </c>
      <c r="D938" s="306">
        <f t="shared" ca="1" si="414"/>
        <v>-0.9241493586003019</v>
      </c>
      <c r="E938" s="307">
        <f t="shared" ca="1" si="415"/>
        <v>-3.5634872439707133</v>
      </c>
      <c r="F938" s="304">
        <f t="shared" ca="1" si="416"/>
        <v>3.6813711270317935</v>
      </c>
      <c r="G938" s="306">
        <f t="shared" ca="1" si="417"/>
        <v>24.493602751881916</v>
      </c>
      <c r="H938" s="307">
        <f t="shared" ca="1" si="418"/>
        <v>-165.55820463155081</v>
      </c>
      <c r="I938" s="304">
        <f t="shared" ca="1" si="419"/>
        <v>167.36025721953658</v>
      </c>
      <c r="J938" s="306">
        <f t="shared" ca="1" si="420"/>
        <v>1638.9749615397848</v>
      </c>
      <c r="K938" s="307">
        <f t="shared" ca="1" si="421"/>
        <v>-1.6733336618069974</v>
      </c>
      <c r="L938" s="304">
        <f t="shared" ca="1" si="406"/>
        <v>1638.9758157458832</v>
      </c>
      <c r="M938" s="306">
        <f t="shared" ca="1" si="422"/>
        <v>-1.4239162058871024</v>
      </c>
      <c r="N938" s="304">
        <f t="shared" ca="1" si="423"/>
        <v>-81.58438897761215</v>
      </c>
      <c r="P938" s="310">
        <f t="shared" ca="1" si="424"/>
        <v>23</v>
      </c>
      <c r="Q938" s="304">
        <f t="shared" ca="1" si="425"/>
        <v>0</v>
      </c>
      <c r="R938" s="306">
        <f t="shared" ca="1" si="426"/>
        <v>0</v>
      </c>
      <c r="S938" s="307">
        <f t="shared" ca="1" si="427"/>
        <v>12.409999999999973</v>
      </c>
      <c r="T938" s="304">
        <f t="shared" ca="1" si="407"/>
        <v>121.74209999999975</v>
      </c>
      <c r="U938" s="311">
        <f t="shared" ca="1" si="408"/>
        <v>0</v>
      </c>
      <c r="V938" s="306">
        <f t="shared" ca="1" si="409"/>
        <v>1.2252050005252852</v>
      </c>
      <c r="W938" s="304">
        <f t="shared" ca="1" si="410"/>
        <v>78.363454483630036</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3.3898645135988072</v>
      </c>
      <c r="AH938" s="304">
        <f t="shared" ca="1" si="434"/>
        <v>-6.3145050200501025</v>
      </c>
    </row>
    <row r="939" spans="1:34" x14ac:dyDescent="0.25">
      <c r="A939" s="347">
        <f t="shared" ca="1" si="412"/>
        <v>1E-4</v>
      </c>
      <c r="B939" s="304">
        <f t="shared" ca="1" si="413"/>
        <v>43.904600000000443</v>
      </c>
      <c r="D939" s="306">
        <f t="shared" ca="1" si="414"/>
        <v>-0.92414927363029686</v>
      </c>
      <c r="E939" s="307">
        <f t="shared" ca="1" si="415"/>
        <v>-3.5634508049442344</v>
      </c>
      <c r="F939" s="304">
        <f t="shared" ca="1" si="416"/>
        <v>3.6813358335268895</v>
      </c>
      <c r="G939" s="306">
        <f t="shared" ca="1" si="417"/>
        <v>24.493510336954554</v>
      </c>
      <c r="H939" s="307">
        <f t="shared" ca="1" si="418"/>
        <v>-165.5585609766313</v>
      </c>
      <c r="I939" s="304">
        <f t="shared" ca="1" si="419"/>
        <v>167.36059620256927</v>
      </c>
      <c r="J939" s="306">
        <f t="shared" ca="1" si="420"/>
        <v>1638.9749615397848</v>
      </c>
      <c r="K939" s="307">
        <f t="shared" ca="1" si="421"/>
        <v>-1.6898895000874066</v>
      </c>
      <c r="L939" s="304">
        <f t="shared" ca="1" si="406"/>
        <v>1638.9758327323993</v>
      </c>
      <c r="M939" s="306">
        <f t="shared" ca="1" si="422"/>
        <v>-1.4239170637465302</v>
      </c>
      <c r="N939" s="304">
        <f t="shared" ca="1" si="423"/>
        <v>-81.584438129336775</v>
      </c>
      <c r="P939" s="310">
        <f t="shared" ca="1" si="424"/>
        <v>23</v>
      </c>
      <c r="Q939" s="304">
        <f t="shared" ca="1" si="425"/>
        <v>0</v>
      </c>
      <c r="R939" s="306">
        <f t="shared" ca="1" si="426"/>
        <v>0</v>
      </c>
      <c r="S939" s="307">
        <f t="shared" ca="1" si="427"/>
        <v>12.409999999999973</v>
      </c>
      <c r="T939" s="304">
        <f t="shared" ca="1" si="407"/>
        <v>121.74209999999975</v>
      </c>
      <c r="U939" s="311">
        <f t="shared" ca="1" si="408"/>
        <v>0</v>
      </c>
      <c r="V939" s="306">
        <f t="shared" ca="1" si="409"/>
        <v>1.2252070289565637</v>
      </c>
      <c r="W939" s="304">
        <f t="shared" ca="1" si="410"/>
        <v>78.363901667367543</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3.3898297110256568</v>
      </c>
      <c r="AH939" s="304">
        <f t="shared" ca="1" si="434"/>
        <v>-6.314541054281241</v>
      </c>
    </row>
    <row r="940" spans="1:34" x14ac:dyDescent="0.25">
      <c r="A940" s="347">
        <f t="shared" ca="1" si="412"/>
        <v>1E-4</v>
      </c>
      <c r="B940" s="304">
        <f t="shared" ca="1" si="413"/>
        <v>43.904700000000446</v>
      </c>
      <c r="D940" s="306">
        <f t="shared" ca="1" si="414"/>
        <v>-0.92414918862774831</v>
      </c>
      <c r="E940" s="307">
        <f t="shared" ca="1" si="415"/>
        <v>-3.5634143660048716</v>
      </c>
      <c r="F940" s="304">
        <f t="shared" ca="1" si="416"/>
        <v>3.6813005401204646</v>
      </c>
      <c r="G940" s="306">
        <f t="shared" ca="1" si="417"/>
        <v>24.49341792203569</v>
      </c>
      <c r="H940" s="307">
        <f t="shared" ca="1" si="418"/>
        <v>-165.5589173180679</v>
      </c>
      <c r="I940" s="304">
        <f t="shared" ca="1" si="419"/>
        <v>167.36093518212169</v>
      </c>
      <c r="J940" s="306">
        <f t="shared" ca="1" si="420"/>
        <v>1638.9749615397848</v>
      </c>
      <c r="K940" s="307">
        <f t="shared" ca="1" si="421"/>
        <v>-1.7064453740021415</v>
      </c>
      <c r="L940" s="304">
        <f t="shared" ca="1" si="406"/>
        <v>1638.9758498861884</v>
      </c>
      <c r="M940" s="306">
        <f t="shared" ca="1" si="422"/>
        <v>-1.4239179215992459</v>
      </c>
      <c r="N940" s="304">
        <f t="shared" ca="1" si="423"/>
        <v>-81.584487280676839</v>
      </c>
      <c r="P940" s="310">
        <f t="shared" ca="1" si="424"/>
        <v>23</v>
      </c>
      <c r="Q940" s="304">
        <f t="shared" ca="1" si="425"/>
        <v>0</v>
      </c>
      <c r="R940" s="306">
        <f t="shared" ca="1" si="426"/>
        <v>0</v>
      </c>
      <c r="S940" s="307">
        <f t="shared" ca="1" si="427"/>
        <v>12.409999999999973</v>
      </c>
      <c r="T940" s="304">
        <f t="shared" ca="1" si="407"/>
        <v>121.74209999999975</v>
      </c>
      <c r="U940" s="311">
        <f t="shared" ca="1" si="408"/>
        <v>0</v>
      </c>
      <c r="V940" s="306">
        <f t="shared" ca="1" si="409"/>
        <v>1.2252090573955665</v>
      </c>
      <c r="W940" s="304">
        <f t="shared" ca="1" si="410"/>
        <v>78.364348850034006</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3.3897949085220231</v>
      </c>
      <c r="AH940" s="304">
        <f t="shared" ca="1" si="434"/>
        <v>-6.314577088426085</v>
      </c>
    </row>
    <row r="941" spans="1:34" x14ac:dyDescent="0.25">
      <c r="A941" s="347">
        <f t="shared" ca="1" si="412"/>
        <v>1E-4</v>
      </c>
      <c r="B941" s="304">
        <f t="shared" ca="1" si="413"/>
        <v>43.904800000000449</v>
      </c>
      <c r="D941" s="306">
        <f t="shared" ca="1" si="414"/>
        <v>-0.92414910359265701</v>
      </c>
      <c r="E941" s="307">
        <f t="shared" ca="1" si="415"/>
        <v>-3.5633779271526373</v>
      </c>
      <c r="F941" s="304">
        <f t="shared" ca="1" si="416"/>
        <v>3.6812652468125329</v>
      </c>
      <c r="G941" s="306">
        <f t="shared" ca="1" si="417"/>
        <v>24.493325507125331</v>
      </c>
      <c r="H941" s="307">
        <f t="shared" ca="1" si="418"/>
        <v>-165.55927365586061</v>
      </c>
      <c r="I941" s="304">
        <f t="shared" ca="1" si="419"/>
        <v>167.36127415819388</v>
      </c>
      <c r="J941" s="306">
        <f t="shared" ca="1" si="420"/>
        <v>1638.9749615397848</v>
      </c>
      <c r="K941" s="307">
        <f t="shared" ca="1" si="421"/>
        <v>-1.7230012835508379</v>
      </c>
      <c r="L941" s="304">
        <f t="shared" ca="1" si="406"/>
        <v>1638.9758672072514</v>
      </c>
      <c r="M941" s="306">
        <f t="shared" ca="1" si="422"/>
        <v>-1.4239187794452499</v>
      </c>
      <c r="N941" s="304">
        <f t="shared" ca="1" si="423"/>
        <v>-81.58453643163233</v>
      </c>
      <c r="P941" s="310">
        <f t="shared" ca="1" si="424"/>
        <v>23</v>
      </c>
      <c r="Q941" s="304">
        <f t="shared" ca="1" si="425"/>
        <v>0</v>
      </c>
      <c r="R941" s="306">
        <f t="shared" ca="1" si="426"/>
        <v>0</v>
      </c>
      <c r="S941" s="307">
        <f t="shared" ca="1" si="427"/>
        <v>12.409999999999973</v>
      </c>
      <c r="T941" s="304">
        <f t="shared" ca="1" si="407"/>
        <v>121.74209999999975</v>
      </c>
      <c r="U941" s="311">
        <f t="shared" ca="1" si="408"/>
        <v>0</v>
      </c>
      <c r="V941" s="306">
        <f t="shared" ca="1" si="409"/>
        <v>1.2252110858422938</v>
      </c>
      <c r="W941" s="304">
        <f t="shared" ca="1" si="410"/>
        <v>78.364796031629453</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3.3897601060879179</v>
      </c>
      <c r="AH941" s="304">
        <f t="shared" ca="1" si="434"/>
        <v>-6.3146131224846229</v>
      </c>
    </row>
    <row r="942" spans="1:34" x14ac:dyDescent="0.25">
      <c r="A942" s="347">
        <f t="shared" ca="1" si="412"/>
        <v>1E-4</v>
      </c>
      <c r="B942" s="304">
        <f t="shared" ca="1" si="413"/>
        <v>43.904900000000453</v>
      </c>
      <c r="D942" s="306">
        <f t="shared" ca="1" si="414"/>
        <v>-0.92414901852502329</v>
      </c>
      <c r="E942" s="307">
        <f t="shared" ca="1" si="415"/>
        <v>-3.5633414883875272</v>
      </c>
      <c r="F942" s="304">
        <f t="shared" ca="1" si="416"/>
        <v>3.681229953603089</v>
      </c>
      <c r="G942" s="306">
        <f t="shared" ca="1" si="417"/>
        <v>24.493233092223477</v>
      </c>
      <c r="H942" s="307">
        <f t="shared" ca="1" si="418"/>
        <v>-165.55962999000946</v>
      </c>
      <c r="I942" s="304">
        <f t="shared" ca="1" si="419"/>
        <v>167.36161313078586</v>
      </c>
      <c r="J942" s="306">
        <f t="shared" ca="1" si="420"/>
        <v>1638.9749615397848</v>
      </c>
      <c r="K942" s="307">
        <f t="shared" ca="1" si="421"/>
        <v>-1.7395572287331313</v>
      </c>
      <c r="L942" s="304">
        <f t="shared" ca="1" si="406"/>
        <v>1638.9758846955897</v>
      </c>
      <c r="M942" s="306">
        <f t="shared" ca="1" si="422"/>
        <v>-1.4239196372845424</v>
      </c>
      <c r="N942" s="304">
        <f t="shared" ca="1" si="423"/>
        <v>-81.584585582203303</v>
      </c>
      <c r="P942" s="310">
        <f t="shared" ca="1" si="424"/>
        <v>23</v>
      </c>
      <c r="Q942" s="304">
        <f t="shared" ca="1" si="425"/>
        <v>0</v>
      </c>
      <c r="R942" s="306">
        <f t="shared" ca="1" si="426"/>
        <v>0</v>
      </c>
      <c r="S942" s="307">
        <f t="shared" ca="1" si="427"/>
        <v>12.409999999999973</v>
      </c>
      <c r="T942" s="304">
        <f t="shared" ca="1" si="407"/>
        <v>121.74209999999975</v>
      </c>
      <c r="U942" s="311">
        <f t="shared" ca="1" si="408"/>
        <v>0</v>
      </c>
      <c r="V942" s="306">
        <f t="shared" ca="1" si="409"/>
        <v>1.2252131142967455</v>
      </c>
      <c r="W942" s="304">
        <f t="shared" ca="1" si="410"/>
        <v>78.365243212153899</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3.3897253037233384</v>
      </c>
      <c r="AH942" s="304">
        <f t="shared" ca="1" si="434"/>
        <v>-6.3146491564568592</v>
      </c>
    </row>
    <row r="943" spans="1:34" x14ac:dyDescent="0.25">
      <c r="A943" s="347">
        <f t="shared" ca="1" si="412"/>
        <v>1E-4</v>
      </c>
      <c r="B943" s="304">
        <f t="shared" ca="1" si="413"/>
        <v>43.905000000000456</v>
      </c>
      <c r="D943" s="306">
        <f t="shared" ca="1" si="414"/>
        <v>-0.92414893342484661</v>
      </c>
      <c r="E943" s="307">
        <f t="shared" ca="1" si="415"/>
        <v>-3.5633050497095411</v>
      </c>
      <c r="F943" s="304">
        <f t="shared" ca="1" si="416"/>
        <v>3.681194660492134</v>
      </c>
      <c r="G943" s="306">
        <f t="shared" ca="1" si="417"/>
        <v>24.493140677330135</v>
      </c>
      <c r="H943" s="307">
        <f t="shared" ca="1" si="418"/>
        <v>-165.55998632051441</v>
      </c>
      <c r="I943" s="304">
        <f t="shared" ca="1" si="419"/>
        <v>167.36195209989754</v>
      </c>
      <c r="J943" s="306">
        <f t="shared" ca="1" si="420"/>
        <v>1638.9749615397848</v>
      </c>
      <c r="K943" s="307">
        <f t="shared" ca="1" si="421"/>
        <v>-1.7561132095486576</v>
      </c>
      <c r="L943" s="304">
        <f t="shared" ca="1" si="406"/>
        <v>1638.9759023512042</v>
      </c>
      <c r="M943" s="306">
        <f t="shared" ca="1" si="422"/>
        <v>-1.4239204951171232</v>
      </c>
      <c r="N943" s="304">
        <f t="shared" ca="1" si="423"/>
        <v>-81.584634732389702</v>
      </c>
      <c r="P943" s="310">
        <f t="shared" ca="1" si="424"/>
        <v>23</v>
      </c>
      <c r="Q943" s="304">
        <f t="shared" ca="1" si="425"/>
        <v>0</v>
      </c>
      <c r="R943" s="306">
        <f t="shared" ca="1" si="426"/>
        <v>0</v>
      </c>
      <c r="S943" s="307">
        <f t="shared" ca="1" si="427"/>
        <v>12.409999999999973</v>
      </c>
      <c r="T943" s="304">
        <f t="shared" ca="1" si="407"/>
        <v>121.74209999999975</v>
      </c>
      <c r="U943" s="311">
        <f t="shared" ca="1" si="408"/>
        <v>0</v>
      </c>
      <c r="V943" s="306">
        <f t="shared" ca="1" si="409"/>
        <v>1.2252151427589217</v>
      </c>
      <c r="W943" s="304">
        <f t="shared" ca="1" si="410"/>
        <v>78.365690391607203</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3.3896905014282828</v>
      </c>
      <c r="AH943" s="304">
        <f t="shared" ca="1" si="434"/>
        <v>-6.3146851903427939</v>
      </c>
    </row>
    <row r="944" spans="1:34" x14ac:dyDescent="0.25">
      <c r="A944" s="347">
        <f t="shared" ca="1" si="412"/>
        <v>1E-4</v>
      </c>
      <c r="B944" s="304">
        <f t="shared" ca="1" si="413"/>
        <v>43.905100000000459</v>
      </c>
      <c r="D944" s="306">
        <f t="shared" ca="1" si="414"/>
        <v>-0.92414884829212751</v>
      </c>
      <c r="E944" s="307">
        <f t="shared" ca="1" si="415"/>
        <v>-3.5632686111186906</v>
      </c>
      <c r="F944" s="304">
        <f t="shared" ca="1" si="416"/>
        <v>3.6811593674796788</v>
      </c>
      <c r="G944" s="306">
        <f t="shared" ca="1" si="417"/>
        <v>24.493048262445306</v>
      </c>
      <c r="H944" s="307">
        <f t="shared" ca="1" si="418"/>
        <v>-165.56034264737553</v>
      </c>
      <c r="I944" s="304">
        <f t="shared" ca="1" si="419"/>
        <v>167.36229106552906</v>
      </c>
      <c r="J944" s="306">
        <f t="shared" ca="1" si="420"/>
        <v>1638.9749615397848</v>
      </c>
      <c r="K944" s="307">
        <f t="shared" ca="1" si="421"/>
        <v>-1.772669225997052</v>
      </c>
      <c r="L944" s="304">
        <f t="shared" ca="1" si="406"/>
        <v>1638.9759201740958</v>
      </c>
      <c r="M944" s="306">
        <f t="shared" ca="1" si="422"/>
        <v>-1.4239213529429926</v>
      </c>
      <c r="N944" s="304">
        <f t="shared" ca="1" si="423"/>
        <v>-81.584683882191584</v>
      </c>
      <c r="P944" s="310">
        <f t="shared" ca="1" si="424"/>
        <v>23</v>
      </c>
      <c r="Q944" s="304">
        <f t="shared" ca="1" si="425"/>
        <v>0</v>
      </c>
      <c r="R944" s="306">
        <f t="shared" ca="1" si="426"/>
        <v>0</v>
      </c>
      <c r="S944" s="307">
        <f t="shared" ca="1" si="427"/>
        <v>12.409999999999973</v>
      </c>
      <c r="T944" s="304">
        <f t="shared" ca="1" si="407"/>
        <v>121.74209999999975</v>
      </c>
      <c r="U944" s="311">
        <f t="shared" ca="1" si="408"/>
        <v>0</v>
      </c>
      <c r="V944" s="306">
        <f t="shared" ca="1" si="409"/>
        <v>1.2252171712288222</v>
      </c>
      <c r="W944" s="304">
        <f t="shared" ca="1" si="410"/>
        <v>78.36613756998949</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3.3896556992027609</v>
      </c>
      <c r="AH944" s="304">
        <f t="shared" ca="1" si="434"/>
        <v>-6.3147212241424153</v>
      </c>
    </row>
    <row r="945" spans="1:34" x14ac:dyDescent="0.25">
      <c r="A945" s="347">
        <f t="shared" ca="1" si="412"/>
        <v>1E-4</v>
      </c>
      <c r="B945" s="304">
        <f t="shared" ca="1" si="413"/>
        <v>43.905200000000463</v>
      </c>
      <c r="D945" s="306">
        <f t="shared" ca="1" si="414"/>
        <v>-0.92414876312686589</v>
      </c>
      <c r="E945" s="307">
        <f t="shared" ca="1" si="415"/>
        <v>-3.5632321726149652</v>
      </c>
      <c r="F945" s="304">
        <f t="shared" ca="1" si="416"/>
        <v>3.6811240745657137</v>
      </c>
      <c r="G945" s="306">
        <f t="shared" ca="1" si="417"/>
        <v>24.492955847568993</v>
      </c>
      <c r="H945" s="307">
        <f t="shared" ca="1" si="418"/>
        <v>-165.5606989705928</v>
      </c>
      <c r="I945" s="304">
        <f t="shared" ca="1" si="419"/>
        <v>167.36263002768035</v>
      </c>
      <c r="J945" s="306">
        <f t="shared" ca="1" si="420"/>
        <v>1638.9749615397848</v>
      </c>
      <c r="K945" s="307">
        <f t="shared" ca="1" si="421"/>
        <v>-1.7892252780779505</v>
      </c>
      <c r="L945" s="304">
        <f t="shared" ca="1" si="406"/>
        <v>1638.9759381642657</v>
      </c>
      <c r="M945" s="306">
        <f t="shared" ca="1" si="422"/>
        <v>-1.4239222107621505</v>
      </c>
      <c r="N945" s="304">
        <f t="shared" ca="1" si="423"/>
        <v>-81.58473303160892</v>
      </c>
      <c r="P945" s="310">
        <f t="shared" ca="1" si="424"/>
        <v>23</v>
      </c>
      <c r="Q945" s="304">
        <f t="shared" ca="1" si="425"/>
        <v>0</v>
      </c>
      <c r="R945" s="306">
        <f t="shared" ca="1" si="426"/>
        <v>0</v>
      </c>
      <c r="S945" s="307">
        <f t="shared" ca="1" si="427"/>
        <v>12.409999999999973</v>
      </c>
      <c r="T945" s="304">
        <f t="shared" ca="1" si="407"/>
        <v>121.74209999999975</v>
      </c>
      <c r="U945" s="311">
        <f t="shared" ca="1" si="408"/>
        <v>0</v>
      </c>
      <c r="V945" s="306">
        <f t="shared" ca="1" si="409"/>
        <v>1.2252191997064474</v>
      </c>
      <c r="W945" s="304">
        <f t="shared" ca="1" si="410"/>
        <v>78.366584747300664</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3.3896208970467656</v>
      </c>
      <c r="AH945" s="304">
        <f t="shared" ca="1" si="434"/>
        <v>-6.3147572578557343</v>
      </c>
    </row>
    <row r="946" spans="1:34" x14ac:dyDescent="0.25">
      <c r="A946" s="347">
        <f t="shared" ca="1" si="412"/>
        <v>1E-4</v>
      </c>
      <c r="B946" s="304">
        <f t="shared" ca="1" si="413"/>
        <v>43.905300000000466</v>
      </c>
      <c r="D946" s="306">
        <f t="shared" ca="1" si="414"/>
        <v>-0.92414867792906263</v>
      </c>
      <c r="E946" s="307">
        <f t="shared" ca="1" si="415"/>
        <v>-3.5631957341983735</v>
      </c>
      <c r="F946" s="304">
        <f t="shared" ca="1" si="416"/>
        <v>3.6810887817502476</v>
      </c>
      <c r="G946" s="306">
        <f t="shared" ca="1" si="417"/>
        <v>24.492863432701199</v>
      </c>
      <c r="H946" s="307">
        <f t="shared" ca="1" si="418"/>
        <v>-165.56105529016622</v>
      </c>
      <c r="I946" s="304">
        <f t="shared" ca="1" si="419"/>
        <v>167.36296898635143</v>
      </c>
      <c r="J946" s="306">
        <f t="shared" ca="1" si="420"/>
        <v>1638.9749615397848</v>
      </c>
      <c r="K946" s="307">
        <f t="shared" ca="1" si="421"/>
        <v>-1.8057813657909885</v>
      </c>
      <c r="L946" s="304">
        <f t="shared" ca="1" si="406"/>
        <v>1638.9759563217149</v>
      </c>
      <c r="M946" s="306">
        <f t="shared" ca="1" si="422"/>
        <v>-1.4239230685745972</v>
      </c>
      <c r="N946" s="304">
        <f t="shared" ca="1" si="423"/>
        <v>-81.584782180641724</v>
      </c>
      <c r="P946" s="310">
        <f t="shared" ca="1" si="424"/>
        <v>23</v>
      </c>
      <c r="Q946" s="304">
        <f t="shared" ca="1" si="425"/>
        <v>0</v>
      </c>
      <c r="R946" s="306">
        <f t="shared" ca="1" si="426"/>
        <v>0</v>
      </c>
      <c r="S946" s="307">
        <f t="shared" ca="1" si="427"/>
        <v>12.409999999999973</v>
      </c>
      <c r="T946" s="304">
        <f t="shared" ca="1" si="407"/>
        <v>121.74209999999975</v>
      </c>
      <c r="U946" s="311">
        <f t="shared" ca="1" si="408"/>
        <v>0</v>
      </c>
      <c r="V946" s="306">
        <f t="shared" ca="1" si="409"/>
        <v>1.2252212281917969</v>
      </c>
      <c r="W946" s="304">
        <f t="shared" ca="1" si="410"/>
        <v>78.367031923540694</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3.3895860949603076</v>
      </c>
      <c r="AH946" s="304">
        <f t="shared" ca="1" si="434"/>
        <v>-6.3147932914827418</v>
      </c>
    </row>
    <row r="947" spans="1:34" x14ac:dyDescent="0.25">
      <c r="A947" s="347">
        <f t="shared" ca="1" si="412"/>
        <v>1E-4</v>
      </c>
      <c r="B947" s="304">
        <f t="shared" ca="1" si="413"/>
        <v>43.905400000000469</v>
      </c>
      <c r="D947" s="306">
        <f t="shared" ca="1" si="414"/>
        <v>-0.92414859269871741</v>
      </c>
      <c r="E947" s="307">
        <f t="shared" ca="1" si="415"/>
        <v>-3.5631592958689158</v>
      </c>
      <c r="F947" s="304">
        <f t="shared" ca="1" si="416"/>
        <v>3.6810534890332804</v>
      </c>
      <c r="G947" s="306">
        <f t="shared" ca="1" si="417"/>
        <v>24.492771017841928</v>
      </c>
      <c r="H947" s="307">
        <f t="shared" ca="1" si="418"/>
        <v>-165.56141160609582</v>
      </c>
      <c r="I947" s="304">
        <f t="shared" ca="1" si="419"/>
        <v>167.3633079415423</v>
      </c>
      <c r="J947" s="306">
        <f t="shared" ca="1" si="420"/>
        <v>1638.9749615397848</v>
      </c>
      <c r="K947" s="307">
        <f t="shared" ca="1" si="421"/>
        <v>-1.8223374891358015</v>
      </c>
      <c r="L947" s="304">
        <f t="shared" ca="1" si="406"/>
        <v>1638.9759746464447</v>
      </c>
      <c r="M947" s="306">
        <f t="shared" ca="1" si="422"/>
        <v>-1.4239239263803325</v>
      </c>
      <c r="N947" s="304">
        <f t="shared" ca="1" si="423"/>
        <v>-81.584831329289997</v>
      </c>
      <c r="P947" s="310">
        <f t="shared" ca="1" si="424"/>
        <v>23</v>
      </c>
      <c r="Q947" s="304">
        <f t="shared" ca="1" si="425"/>
        <v>0</v>
      </c>
      <c r="R947" s="306">
        <f t="shared" ca="1" si="426"/>
        <v>0</v>
      </c>
      <c r="S947" s="307">
        <f t="shared" ca="1" si="427"/>
        <v>12.409999999999973</v>
      </c>
      <c r="T947" s="304">
        <f t="shared" ca="1" si="407"/>
        <v>121.74209999999975</v>
      </c>
      <c r="U947" s="311">
        <f t="shared" ca="1" si="408"/>
        <v>0</v>
      </c>
      <c r="V947" s="306">
        <f t="shared" ca="1" si="409"/>
        <v>1.2252232566848704</v>
      </c>
      <c r="W947" s="304">
        <f t="shared" ca="1" si="410"/>
        <v>78.367479098709552</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3.3895512929433833</v>
      </c>
      <c r="AH947" s="304">
        <f t="shared" ca="1" si="434"/>
        <v>-6.314829325023438</v>
      </c>
    </row>
    <row r="948" spans="1:34" x14ac:dyDescent="0.25">
      <c r="A948" s="347">
        <f t="shared" ca="1" si="412"/>
        <v>1E-4</v>
      </c>
      <c r="B948" s="304">
        <f t="shared" ca="1" si="413"/>
        <v>43.905500000000472</v>
      </c>
      <c r="D948" s="306">
        <f t="shared" ca="1" si="414"/>
        <v>-0.92414850743583044</v>
      </c>
      <c r="E948" s="307">
        <f t="shared" ca="1" si="415"/>
        <v>-3.5631228576265954</v>
      </c>
      <c r="F948" s="304">
        <f t="shared" ca="1" si="416"/>
        <v>3.6810181964148168</v>
      </c>
      <c r="G948" s="306">
        <f t="shared" ca="1" si="417"/>
        <v>24.492678602991184</v>
      </c>
      <c r="H948" s="307">
        <f t="shared" ca="1" si="418"/>
        <v>-165.56176791838158</v>
      </c>
      <c r="I948" s="304">
        <f t="shared" ca="1" si="419"/>
        <v>167.36364689325296</v>
      </c>
      <c r="J948" s="306">
        <f t="shared" ca="1" si="420"/>
        <v>1638.9749615397848</v>
      </c>
      <c r="K948" s="307">
        <f t="shared" ca="1" si="421"/>
        <v>-1.8388936481120255</v>
      </c>
      <c r="L948" s="304">
        <f t="shared" ca="1" si="406"/>
        <v>1638.975993138456</v>
      </c>
      <c r="M948" s="306">
        <f t="shared" ca="1" si="422"/>
        <v>-1.423924784179357</v>
      </c>
      <c r="N948" s="304">
        <f t="shared" ca="1" si="423"/>
        <v>-81.584880477553767</v>
      </c>
      <c r="P948" s="310">
        <f t="shared" ca="1" si="424"/>
        <v>23</v>
      </c>
      <c r="Q948" s="304">
        <f t="shared" ca="1" si="425"/>
        <v>0</v>
      </c>
      <c r="R948" s="306">
        <f t="shared" ca="1" si="426"/>
        <v>0</v>
      </c>
      <c r="S948" s="307">
        <f t="shared" ca="1" si="427"/>
        <v>12.409999999999973</v>
      </c>
      <c r="T948" s="304">
        <f t="shared" ca="1" si="407"/>
        <v>121.74209999999975</v>
      </c>
      <c r="U948" s="311">
        <f t="shared" ca="1" si="408"/>
        <v>0</v>
      </c>
      <c r="V948" s="306">
        <f t="shared" ca="1" si="409"/>
        <v>1.2252252851856689</v>
      </c>
      <c r="W948" s="304">
        <f t="shared" ca="1" si="410"/>
        <v>78.367926272807267</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3.3895164909959972</v>
      </c>
      <c r="AH948" s="304">
        <f t="shared" ca="1" si="434"/>
        <v>-6.3148653584778183</v>
      </c>
    </row>
    <row r="949" spans="1:34" x14ac:dyDescent="0.25">
      <c r="A949" s="347">
        <f t="shared" ca="1" si="412"/>
        <v>1E-4</v>
      </c>
      <c r="B949" s="304">
        <f t="shared" ca="1" si="413"/>
        <v>43.905600000000476</v>
      </c>
      <c r="D949" s="306">
        <f t="shared" ca="1" si="414"/>
        <v>-0.92414842214040027</v>
      </c>
      <c r="E949" s="307">
        <f t="shared" ca="1" si="415"/>
        <v>-3.5630864194714125</v>
      </c>
      <c r="F949" s="304">
        <f t="shared" ca="1" si="416"/>
        <v>3.6809829038948556</v>
      </c>
      <c r="G949" s="306">
        <f t="shared" ca="1" si="417"/>
        <v>24.492586188148969</v>
      </c>
      <c r="H949" s="307">
        <f t="shared" ca="1" si="418"/>
        <v>-165.56212422702353</v>
      </c>
      <c r="I949" s="304">
        <f t="shared" ca="1" si="419"/>
        <v>167.36398584148347</v>
      </c>
      <c r="J949" s="306">
        <f t="shared" ca="1" si="420"/>
        <v>1638.9749615397848</v>
      </c>
      <c r="K949" s="307">
        <f t="shared" ca="1" si="421"/>
        <v>-1.8554498427192958</v>
      </c>
      <c r="L949" s="304">
        <f t="shared" ca="1" si="406"/>
        <v>1638.9760117977498</v>
      </c>
      <c r="M949" s="306">
        <f t="shared" ca="1" si="422"/>
        <v>-1.4239256419716702</v>
      </c>
      <c r="N949" s="304">
        <f t="shared" ca="1" si="423"/>
        <v>-81.58492962543302</v>
      </c>
      <c r="P949" s="310">
        <f t="shared" ca="1" si="424"/>
        <v>23</v>
      </c>
      <c r="Q949" s="304">
        <f t="shared" ca="1" si="425"/>
        <v>0</v>
      </c>
      <c r="R949" s="306">
        <f t="shared" ca="1" si="426"/>
        <v>0</v>
      </c>
      <c r="S949" s="307">
        <f t="shared" ca="1" si="427"/>
        <v>12.409999999999973</v>
      </c>
      <c r="T949" s="304">
        <f t="shared" ca="1" si="407"/>
        <v>121.74209999999975</v>
      </c>
      <c r="U949" s="311">
        <f t="shared" ca="1" si="408"/>
        <v>0</v>
      </c>
      <c r="V949" s="306">
        <f t="shared" ca="1" si="409"/>
        <v>1.2252273136941911</v>
      </c>
      <c r="W949" s="304">
        <f t="shared" ca="1" si="410"/>
        <v>78.368373445833782</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3.3894816891181518</v>
      </c>
      <c r="AH949" s="304">
        <f t="shared" ca="1" si="434"/>
        <v>-6.3149013918458854</v>
      </c>
    </row>
    <row r="950" spans="1:34" x14ac:dyDescent="0.25">
      <c r="A950" s="347">
        <f t="shared" ca="1" si="412"/>
        <v>1E-4</v>
      </c>
      <c r="B950" s="304">
        <f t="shared" ca="1" si="413"/>
        <v>43.905700000000479</v>
      </c>
      <c r="D950" s="306">
        <f t="shared" ca="1" si="414"/>
        <v>-0.92414833681243014</v>
      </c>
      <c r="E950" s="307">
        <f t="shared" ca="1" si="415"/>
        <v>-3.5630499814033678</v>
      </c>
      <c r="F950" s="304">
        <f t="shared" ca="1" si="416"/>
        <v>3.6809476114733992</v>
      </c>
      <c r="G950" s="306">
        <f t="shared" ca="1" si="417"/>
        <v>24.492493773315289</v>
      </c>
      <c r="H950" s="307">
        <f t="shared" ca="1" si="418"/>
        <v>-165.56248053202168</v>
      </c>
      <c r="I950" s="304">
        <f t="shared" ca="1" si="419"/>
        <v>167.36432478623379</v>
      </c>
      <c r="J950" s="306">
        <f t="shared" ca="1" si="420"/>
        <v>1638.9749615397848</v>
      </c>
      <c r="K950" s="307">
        <f t="shared" ca="1" si="421"/>
        <v>-1.8720060729572481</v>
      </c>
      <c r="L950" s="304">
        <f t="shared" ca="1" si="406"/>
        <v>1638.9760306243274</v>
      </c>
      <c r="M950" s="306">
        <f t="shared" ca="1" si="422"/>
        <v>-1.4239264997572723</v>
      </c>
      <c r="N950" s="304">
        <f t="shared" ca="1" si="423"/>
        <v>-81.584978772927741</v>
      </c>
      <c r="P950" s="310">
        <f t="shared" ca="1" si="424"/>
        <v>23</v>
      </c>
      <c r="Q950" s="304">
        <f t="shared" ca="1" si="425"/>
        <v>0</v>
      </c>
      <c r="R950" s="306">
        <f t="shared" ca="1" si="426"/>
        <v>0</v>
      </c>
      <c r="S950" s="307">
        <f t="shared" ca="1" si="427"/>
        <v>12.409999999999973</v>
      </c>
      <c r="T950" s="304">
        <f t="shared" ca="1" si="407"/>
        <v>121.74209999999975</v>
      </c>
      <c r="U950" s="311">
        <f t="shared" ca="1" si="408"/>
        <v>0</v>
      </c>
      <c r="V950" s="306">
        <f t="shared" ca="1" si="409"/>
        <v>1.2252293422104379</v>
      </c>
      <c r="W950" s="304">
        <f t="shared" ca="1" si="410"/>
        <v>78.368820617789083</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3.3894468873098464</v>
      </c>
      <c r="AH950" s="304">
        <f t="shared" ca="1" si="434"/>
        <v>-6.3149374251276349</v>
      </c>
    </row>
    <row r="951" spans="1:34" x14ac:dyDescent="0.25">
      <c r="A951" s="347">
        <f t="shared" ca="1" si="412"/>
        <v>1E-4</v>
      </c>
      <c r="B951" s="304">
        <f t="shared" ca="1" si="413"/>
        <v>43.905800000000482</v>
      </c>
      <c r="D951" s="306">
        <f t="shared" ca="1" si="414"/>
        <v>-0.92414825145191926</v>
      </c>
      <c r="E951" s="307">
        <f t="shared" ca="1" si="415"/>
        <v>-3.5630135434224659</v>
      </c>
      <c r="F951" s="304">
        <f t="shared" ca="1" si="416"/>
        <v>3.6809123191504516</v>
      </c>
      <c r="G951" s="306">
        <f t="shared" ca="1" si="417"/>
        <v>24.492401358490145</v>
      </c>
      <c r="H951" s="307">
        <f t="shared" ca="1" si="418"/>
        <v>-165.56283683337602</v>
      </c>
      <c r="I951" s="304">
        <f t="shared" ca="1" si="419"/>
        <v>167.36466372750391</v>
      </c>
      <c r="J951" s="306">
        <f t="shared" ca="1" si="420"/>
        <v>1638.9749615397848</v>
      </c>
      <c r="K951" s="307">
        <f t="shared" ca="1" si="421"/>
        <v>-1.8885623388255179</v>
      </c>
      <c r="L951" s="304">
        <f t="shared" ca="1" si="406"/>
        <v>1638.9760496181898</v>
      </c>
      <c r="M951" s="306">
        <f t="shared" ca="1" si="422"/>
        <v>-1.4239273575361637</v>
      </c>
      <c r="N951" s="304">
        <f t="shared" ca="1" si="423"/>
        <v>-81.585027920037973</v>
      </c>
      <c r="P951" s="310">
        <f t="shared" ca="1" si="424"/>
        <v>23</v>
      </c>
      <c r="Q951" s="304">
        <f t="shared" ca="1" si="425"/>
        <v>0</v>
      </c>
      <c r="R951" s="306">
        <f t="shared" ca="1" si="426"/>
        <v>0</v>
      </c>
      <c r="S951" s="307">
        <f t="shared" ca="1" si="427"/>
        <v>12.409999999999973</v>
      </c>
      <c r="T951" s="304">
        <f t="shared" ca="1" si="407"/>
        <v>121.74209999999975</v>
      </c>
      <c r="U951" s="311">
        <f t="shared" ca="1" si="408"/>
        <v>0</v>
      </c>
      <c r="V951" s="306">
        <f t="shared" ca="1" si="409"/>
        <v>1.2252313707344091</v>
      </c>
      <c r="W951" s="304">
        <f t="shared" ca="1" si="410"/>
        <v>78.369267788673142</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3.3894120855710854</v>
      </c>
      <c r="AH951" s="304">
        <f t="shared" ca="1" si="434"/>
        <v>-6.3149734583230659</v>
      </c>
    </row>
    <row r="952" spans="1:34" x14ac:dyDescent="0.25">
      <c r="A952" s="347">
        <f t="shared" ca="1" si="412"/>
        <v>1E-4</v>
      </c>
      <c r="B952" s="304">
        <f t="shared" ca="1" si="413"/>
        <v>43.905900000000486</v>
      </c>
      <c r="D952" s="306">
        <f t="shared" ca="1" si="414"/>
        <v>-0.92414816605886574</v>
      </c>
      <c r="E952" s="307">
        <f t="shared" ca="1" si="415"/>
        <v>-3.5629771055287058</v>
      </c>
      <c r="F952" s="304">
        <f t="shared" ca="1" si="416"/>
        <v>3.6808770269260123</v>
      </c>
      <c r="G952" s="306">
        <f t="shared" ca="1" si="417"/>
        <v>24.492308943673539</v>
      </c>
      <c r="H952" s="307">
        <f t="shared" ca="1" si="418"/>
        <v>-165.56319313108656</v>
      </c>
      <c r="I952" s="304">
        <f t="shared" ca="1" si="419"/>
        <v>167.36500266529384</v>
      </c>
      <c r="J952" s="306">
        <f t="shared" ca="1" si="420"/>
        <v>1638.9749615397848</v>
      </c>
      <c r="K952" s="307">
        <f t="shared" ca="1" si="421"/>
        <v>-1.905118640323741</v>
      </c>
      <c r="L952" s="304">
        <f t="shared" ca="1" si="406"/>
        <v>1638.976068779338</v>
      </c>
      <c r="M952" s="306">
        <f t="shared" ca="1" si="422"/>
        <v>-1.4239282153083441</v>
      </c>
      <c r="N952" s="304">
        <f t="shared" ca="1" si="423"/>
        <v>-81.585077066763702</v>
      </c>
      <c r="P952" s="310">
        <f t="shared" ca="1" si="424"/>
        <v>23</v>
      </c>
      <c r="Q952" s="304">
        <f t="shared" ca="1" si="425"/>
        <v>0</v>
      </c>
      <c r="R952" s="306">
        <f t="shared" ca="1" si="426"/>
        <v>0</v>
      </c>
      <c r="S952" s="307">
        <f t="shared" ca="1" si="427"/>
        <v>12.409999999999973</v>
      </c>
      <c r="T952" s="304">
        <f t="shared" ca="1" si="407"/>
        <v>121.74209999999975</v>
      </c>
      <c r="U952" s="311">
        <f t="shared" ca="1" si="408"/>
        <v>0</v>
      </c>
      <c r="V952" s="306">
        <f t="shared" ca="1" si="409"/>
        <v>1.2252333992661042</v>
      </c>
      <c r="W952" s="304">
        <f t="shared" ca="1" si="410"/>
        <v>78.369714958485886</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3.3893772839018705</v>
      </c>
      <c r="AH952" s="304">
        <f t="shared" ca="1" si="434"/>
        <v>-6.3150094914321766</v>
      </c>
    </row>
    <row r="953" spans="1:34" x14ac:dyDescent="0.25">
      <c r="A953" s="347">
        <f t="shared" ca="1" si="412"/>
        <v>1E-4</v>
      </c>
      <c r="B953" s="304">
        <f t="shared" ca="1" si="413"/>
        <v>43.906000000000489</v>
      </c>
      <c r="D953" s="306">
        <f t="shared" ca="1" si="414"/>
        <v>-0.92414808063327214</v>
      </c>
      <c r="E953" s="307">
        <f t="shared" ca="1" si="415"/>
        <v>-3.5629406677220956</v>
      </c>
      <c r="F953" s="304">
        <f t="shared" ca="1" si="416"/>
        <v>3.6808417348000897</v>
      </c>
      <c r="G953" s="306">
        <f t="shared" ca="1" si="417"/>
        <v>24.492216528865477</v>
      </c>
      <c r="H953" s="307">
        <f t="shared" ca="1" si="418"/>
        <v>-165.56354942515333</v>
      </c>
      <c r="I953" s="304">
        <f t="shared" ca="1" si="419"/>
        <v>167.36534159960365</v>
      </c>
      <c r="J953" s="306">
        <f t="shared" ca="1" si="420"/>
        <v>1638.9749615397848</v>
      </c>
      <c r="K953" s="307">
        <f t="shared" ca="1" si="421"/>
        <v>-1.9216749774515529</v>
      </c>
      <c r="L953" s="304">
        <f t="shared" ca="1" si="406"/>
        <v>1638.976088107773</v>
      </c>
      <c r="M953" s="306">
        <f t="shared" ca="1" si="422"/>
        <v>-1.4239290730738139</v>
      </c>
      <c r="N953" s="304">
        <f t="shared" ca="1" si="423"/>
        <v>-81.585126213104928</v>
      </c>
      <c r="P953" s="310">
        <f t="shared" ca="1" si="424"/>
        <v>23</v>
      </c>
      <c r="Q953" s="304">
        <f t="shared" ca="1" si="425"/>
        <v>0</v>
      </c>
      <c r="R953" s="306">
        <f t="shared" ca="1" si="426"/>
        <v>0</v>
      </c>
      <c r="S953" s="307">
        <f t="shared" ca="1" si="427"/>
        <v>12.409999999999973</v>
      </c>
      <c r="T953" s="304">
        <f t="shared" ca="1" si="407"/>
        <v>121.74209999999975</v>
      </c>
      <c r="U953" s="311">
        <f t="shared" ca="1" si="408"/>
        <v>0</v>
      </c>
      <c r="V953" s="306">
        <f t="shared" ca="1" si="409"/>
        <v>1.2252354278055242</v>
      </c>
      <c r="W953" s="304">
        <f t="shared" ca="1" si="410"/>
        <v>78.370162127227445</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3.3893424823022089</v>
      </c>
      <c r="AH953" s="304">
        <f t="shared" ca="1" si="434"/>
        <v>-6.3150455244549599</v>
      </c>
    </row>
    <row r="954" spans="1:34" x14ac:dyDescent="0.25">
      <c r="A954" s="347">
        <f t="shared" ca="1" si="412"/>
        <v>1E-4</v>
      </c>
      <c r="B954" s="304">
        <f t="shared" ca="1" si="413"/>
        <v>43.906100000000492</v>
      </c>
      <c r="D954" s="306">
        <f t="shared" ca="1" si="414"/>
        <v>-0.92414799517513824</v>
      </c>
      <c r="E954" s="307">
        <f t="shared" ca="1" si="415"/>
        <v>-3.5629042300026246</v>
      </c>
      <c r="F954" s="304">
        <f t="shared" ca="1" si="416"/>
        <v>3.6808064427726737</v>
      </c>
      <c r="G954" s="306">
        <f t="shared" ca="1" si="417"/>
        <v>24.492124114065959</v>
      </c>
      <c r="H954" s="307">
        <f t="shared" ca="1" si="418"/>
        <v>-165.56390571557634</v>
      </c>
      <c r="I954" s="304">
        <f t="shared" ca="1" si="419"/>
        <v>167.36568053043331</v>
      </c>
      <c r="J954" s="306">
        <f t="shared" ca="1" si="420"/>
        <v>1638.9749615397848</v>
      </c>
      <c r="K954" s="307">
        <f t="shared" ca="1" si="421"/>
        <v>-1.9382313502085895</v>
      </c>
      <c r="L954" s="304">
        <f t="shared" ca="1" si="406"/>
        <v>1638.9761076034958</v>
      </c>
      <c r="M954" s="306">
        <f t="shared" ca="1" si="422"/>
        <v>-1.423929930832573</v>
      </c>
      <c r="N954" s="304">
        <f t="shared" ca="1" si="423"/>
        <v>-81.585175359061665</v>
      </c>
      <c r="P954" s="310">
        <f t="shared" ca="1" si="424"/>
        <v>23</v>
      </c>
      <c r="Q954" s="304">
        <f t="shared" ca="1" si="425"/>
        <v>0</v>
      </c>
      <c r="R954" s="306">
        <f t="shared" ca="1" si="426"/>
        <v>0</v>
      </c>
      <c r="S954" s="307">
        <f t="shared" ca="1" si="427"/>
        <v>12.409999999999973</v>
      </c>
      <c r="T954" s="304">
        <f t="shared" ca="1" si="407"/>
        <v>121.74209999999975</v>
      </c>
      <c r="U954" s="311">
        <f t="shared" ca="1" si="408"/>
        <v>0</v>
      </c>
      <c r="V954" s="306">
        <f t="shared" ca="1" si="409"/>
        <v>1.2252374563526682</v>
      </c>
      <c r="W954" s="304">
        <f t="shared" ca="1" si="410"/>
        <v>78.370609294897676</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3.389307680772089</v>
      </c>
      <c r="AH954" s="304">
        <f t="shared" ca="1" si="434"/>
        <v>-6.3150815573914274</v>
      </c>
    </row>
    <row r="955" spans="1:34" x14ac:dyDescent="0.25">
      <c r="A955" s="347">
        <f t="shared" ca="1" si="412"/>
        <v>1E-4</v>
      </c>
      <c r="B955" s="304">
        <f t="shared" ca="1" si="413"/>
        <v>43.906200000000496</v>
      </c>
      <c r="D955" s="306">
        <f t="shared" ca="1" si="414"/>
        <v>-0.92414790968446336</v>
      </c>
      <c r="E955" s="307">
        <f t="shared" ca="1" si="415"/>
        <v>-3.5628677923703034</v>
      </c>
      <c r="F955" s="304">
        <f t="shared" ca="1" si="416"/>
        <v>3.6807711508437744</v>
      </c>
      <c r="G955" s="306">
        <f t="shared" ca="1" si="417"/>
        <v>24.492031699274989</v>
      </c>
      <c r="H955" s="307">
        <f t="shared" ca="1" si="418"/>
        <v>-165.56426200235558</v>
      </c>
      <c r="I955" s="304">
        <f t="shared" ca="1" si="419"/>
        <v>167.36601945778281</v>
      </c>
      <c r="J955" s="306">
        <f t="shared" ca="1" si="420"/>
        <v>1638.9749615397848</v>
      </c>
      <c r="K955" s="307">
        <f t="shared" ca="1" si="421"/>
        <v>-1.9547877585944862</v>
      </c>
      <c r="L955" s="304">
        <f t="shared" ca="1" si="406"/>
        <v>1638.9761272665078</v>
      </c>
      <c r="M955" s="306">
        <f t="shared" ca="1" si="422"/>
        <v>-1.4239307885846217</v>
      </c>
      <c r="N955" s="304">
        <f t="shared" ca="1" si="423"/>
        <v>-81.585224504633928</v>
      </c>
      <c r="P955" s="310">
        <f t="shared" ca="1" si="424"/>
        <v>23</v>
      </c>
      <c r="Q955" s="304">
        <f t="shared" ca="1" si="425"/>
        <v>0</v>
      </c>
      <c r="R955" s="306">
        <f t="shared" ca="1" si="426"/>
        <v>0</v>
      </c>
      <c r="S955" s="307">
        <f t="shared" ca="1" si="427"/>
        <v>12.409999999999973</v>
      </c>
      <c r="T955" s="304">
        <f t="shared" ca="1" si="407"/>
        <v>121.74209999999975</v>
      </c>
      <c r="U955" s="311">
        <f t="shared" ca="1" si="408"/>
        <v>0</v>
      </c>
      <c r="V955" s="306">
        <f t="shared" ca="1" si="409"/>
        <v>1.2252394849075361</v>
      </c>
      <c r="W955" s="304">
        <f t="shared" ca="1" si="410"/>
        <v>78.371056461496551</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3.3892728793115232</v>
      </c>
      <c r="AH955" s="304">
        <f t="shared" ca="1" si="434"/>
        <v>-6.3151175902415666</v>
      </c>
    </row>
    <row r="956" spans="1:34" x14ac:dyDescent="0.25">
      <c r="A956" s="347">
        <f t="shared" ca="1" si="412"/>
        <v>1E-4</v>
      </c>
      <c r="B956" s="304">
        <f t="shared" ca="1" si="413"/>
        <v>43.906300000000499</v>
      </c>
      <c r="D956" s="306">
        <f t="shared" ca="1" si="414"/>
        <v>-0.92414782416124674</v>
      </c>
      <c r="E956" s="307">
        <f t="shared" ca="1" si="415"/>
        <v>-3.5628313548251356</v>
      </c>
      <c r="F956" s="304">
        <f t="shared" ca="1" si="416"/>
        <v>3.6807358590133954</v>
      </c>
      <c r="G956" s="306">
        <f t="shared" ca="1" si="417"/>
        <v>24.491939284492574</v>
      </c>
      <c r="H956" s="307">
        <f t="shared" ca="1" si="418"/>
        <v>-165.56461828549106</v>
      </c>
      <c r="I956" s="304">
        <f t="shared" ca="1" si="419"/>
        <v>167.36635838165216</v>
      </c>
      <c r="J956" s="306">
        <f t="shared" ca="1" si="420"/>
        <v>1638.9749615397848</v>
      </c>
      <c r="K956" s="307">
        <f t="shared" ca="1" si="421"/>
        <v>-1.9713442026088785</v>
      </c>
      <c r="L956" s="304">
        <f t="shared" ca="1" si="406"/>
        <v>1638.9761470968101</v>
      </c>
      <c r="M956" s="306">
        <f t="shared" ca="1" si="422"/>
        <v>-1.4239316463299598</v>
      </c>
      <c r="N956" s="304">
        <f t="shared" ca="1" si="423"/>
        <v>-81.585273649821701</v>
      </c>
      <c r="P956" s="310">
        <f t="shared" ca="1" si="424"/>
        <v>23</v>
      </c>
      <c r="Q956" s="304">
        <f t="shared" ca="1" si="425"/>
        <v>0</v>
      </c>
      <c r="R956" s="306">
        <f t="shared" ca="1" si="426"/>
        <v>0</v>
      </c>
      <c r="S956" s="307">
        <f t="shared" ca="1" si="427"/>
        <v>12.409999999999973</v>
      </c>
      <c r="T956" s="304">
        <f t="shared" ca="1" si="407"/>
        <v>121.74209999999975</v>
      </c>
      <c r="U956" s="311">
        <f t="shared" ca="1" si="408"/>
        <v>0</v>
      </c>
      <c r="V956" s="306">
        <f t="shared" ca="1" si="409"/>
        <v>1.2252415134701284</v>
      </c>
      <c r="W956" s="304">
        <f t="shared" ca="1" si="410"/>
        <v>78.371503627024111</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3.3892380779205133</v>
      </c>
      <c r="AH956" s="304">
        <f t="shared" ca="1" si="434"/>
        <v>-6.3151536230053757</v>
      </c>
    </row>
    <row r="957" spans="1:34" x14ac:dyDescent="0.25">
      <c r="A957" s="347">
        <f t="shared" ca="1" si="412"/>
        <v>1E-4</v>
      </c>
      <c r="B957" s="304">
        <f t="shared" ca="1" si="413"/>
        <v>43.906400000000502</v>
      </c>
      <c r="D957" s="306">
        <f t="shared" ca="1" si="414"/>
        <v>-0.92414773860549126</v>
      </c>
      <c r="E957" s="307">
        <f t="shared" ca="1" si="415"/>
        <v>-3.5627949173671158</v>
      </c>
      <c r="F957" s="304">
        <f t="shared" ca="1" si="416"/>
        <v>3.6807005672815327</v>
      </c>
      <c r="G957" s="306">
        <f t="shared" ca="1" si="417"/>
        <v>24.491846869718714</v>
      </c>
      <c r="H957" s="307">
        <f t="shared" ca="1" si="418"/>
        <v>-165.5649745649828</v>
      </c>
      <c r="I957" s="304">
        <f t="shared" ca="1" si="419"/>
        <v>167.36669730204142</v>
      </c>
      <c r="J957" s="306">
        <f t="shared" ca="1" si="420"/>
        <v>1638.9749615397848</v>
      </c>
      <c r="K957" s="307">
        <f t="shared" ca="1" si="421"/>
        <v>-1.9879006822514023</v>
      </c>
      <c r="L957" s="304">
        <f t="shared" ca="1" si="406"/>
        <v>1638.9761670944035</v>
      </c>
      <c r="M957" s="306">
        <f t="shared" ca="1" si="422"/>
        <v>-1.4239325040685875</v>
      </c>
      <c r="N957" s="304">
        <f t="shared" ca="1" si="423"/>
        <v>-81.585322794624986</v>
      </c>
      <c r="P957" s="310">
        <f t="shared" ca="1" si="424"/>
        <v>23</v>
      </c>
      <c r="Q957" s="304">
        <f t="shared" ca="1" si="425"/>
        <v>0</v>
      </c>
      <c r="R957" s="306">
        <f t="shared" ca="1" si="426"/>
        <v>0</v>
      </c>
      <c r="S957" s="307">
        <f t="shared" ca="1" si="427"/>
        <v>12.409999999999973</v>
      </c>
      <c r="T957" s="304">
        <f t="shared" ca="1" si="407"/>
        <v>121.74209999999975</v>
      </c>
      <c r="U957" s="311">
        <f t="shared" ca="1" si="408"/>
        <v>0</v>
      </c>
      <c r="V957" s="306">
        <f t="shared" ca="1" si="409"/>
        <v>1.2252435420404453</v>
      </c>
      <c r="W957" s="304">
        <f t="shared" ca="1" si="410"/>
        <v>78.37195079148033</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3.3892032765990567</v>
      </c>
      <c r="AH957" s="304">
        <f t="shared" ca="1" si="434"/>
        <v>-6.3151896556828593</v>
      </c>
    </row>
    <row r="958" spans="1:34" x14ac:dyDescent="0.25">
      <c r="A958" s="347">
        <f t="shared" ca="1" si="412"/>
        <v>1E-4</v>
      </c>
      <c r="B958" s="304">
        <f t="shared" ca="1" si="413"/>
        <v>43.906500000000506</v>
      </c>
      <c r="D958" s="306">
        <f t="shared" ca="1" si="414"/>
        <v>-0.92414765301719592</v>
      </c>
      <c r="E958" s="307">
        <f t="shared" ca="1" si="415"/>
        <v>-3.5627584799962486</v>
      </c>
      <c r="F958" s="304">
        <f t="shared" ca="1" si="416"/>
        <v>3.6806652756481903</v>
      </c>
      <c r="G958" s="306">
        <f t="shared" ca="1" si="417"/>
        <v>24.491754454953412</v>
      </c>
      <c r="H958" s="307">
        <f t="shared" ca="1" si="418"/>
        <v>-165.5653308408308</v>
      </c>
      <c r="I958" s="304">
        <f t="shared" ca="1" si="419"/>
        <v>167.36703621895049</v>
      </c>
      <c r="J958" s="306">
        <f t="shared" ca="1" si="420"/>
        <v>1638.9749615397848</v>
      </c>
      <c r="K958" s="307">
        <f t="shared" ca="1" si="421"/>
        <v>-2.0044571975216932</v>
      </c>
      <c r="L958" s="304">
        <f t="shared" ca="1" si="406"/>
        <v>1638.976187259289</v>
      </c>
      <c r="M958" s="306">
        <f t="shared" ca="1" si="422"/>
        <v>-1.4239333618005048</v>
      </c>
      <c r="N958" s="304">
        <f t="shared" ca="1" si="423"/>
        <v>-81.585371939043796</v>
      </c>
      <c r="P958" s="310">
        <f t="shared" ca="1" si="424"/>
        <v>23</v>
      </c>
      <c r="Q958" s="304">
        <f t="shared" ca="1" si="425"/>
        <v>0</v>
      </c>
      <c r="R958" s="306">
        <f t="shared" ca="1" si="426"/>
        <v>0</v>
      </c>
      <c r="S958" s="307">
        <f t="shared" ca="1" si="427"/>
        <v>12.409999999999973</v>
      </c>
      <c r="T958" s="304">
        <f t="shared" ca="1" si="407"/>
        <v>121.74209999999975</v>
      </c>
      <c r="U958" s="311">
        <f t="shared" ca="1" si="408"/>
        <v>0</v>
      </c>
      <c r="V958" s="306">
        <f t="shared" ca="1" si="409"/>
        <v>1.2252455706184864</v>
      </c>
      <c r="W958" s="304">
        <f t="shared" ca="1" si="410"/>
        <v>78.372397954865136</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3.389168475347156</v>
      </c>
      <c r="AH958" s="304">
        <f t="shared" ca="1" si="434"/>
        <v>-6.3152256882740128</v>
      </c>
    </row>
    <row r="959" spans="1:34" x14ac:dyDescent="0.25">
      <c r="A959" s="347">
        <f t="shared" ca="1" si="412"/>
        <v>1E-4</v>
      </c>
      <c r="B959" s="304">
        <f t="shared" ca="1" si="413"/>
        <v>43.906600000000509</v>
      </c>
      <c r="D959" s="306">
        <f t="shared" ca="1" si="414"/>
        <v>-0.92414756739636106</v>
      </c>
      <c r="E959" s="307">
        <f t="shared" ca="1" si="415"/>
        <v>-3.5627220427125392</v>
      </c>
      <c r="F959" s="304">
        <f t="shared" ca="1" si="416"/>
        <v>3.6806299841133745</v>
      </c>
      <c r="G959" s="306">
        <f t="shared" ca="1" si="417"/>
        <v>24.491662040196672</v>
      </c>
      <c r="H959" s="307">
        <f t="shared" ca="1" si="418"/>
        <v>-165.56568711303507</v>
      </c>
      <c r="I959" s="304">
        <f t="shared" ca="1" si="419"/>
        <v>167.36737513237946</v>
      </c>
      <c r="J959" s="306">
        <f t="shared" ca="1" si="420"/>
        <v>1638.9749615397848</v>
      </c>
      <c r="K959" s="307">
        <f t="shared" ca="1" si="421"/>
        <v>-2.0210137484193864</v>
      </c>
      <c r="L959" s="304">
        <f t="shared" ca="1" si="406"/>
        <v>1638.9762075914678</v>
      </c>
      <c r="M959" s="306">
        <f t="shared" ca="1" si="422"/>
        <v>-1.4239342195257121</v>
      </c>
      <c r="N959" s="304">
        <f t="shared" ca="1" si="423"/>
        <v>-81.58542108307816</v>
      </c>
      <c r="P959" s="310">
        <f t="shared" ca="1" si="424"/>
        <v>23</v>
      </c>
      <c r="Q959" s="304">
        <f t="shared" ca="1" si="425"/>
        <v>0</v>
      </c>
      <c r="R959" s="306">
        <f t="shared" ca="1" si="426"/>
        <v>0</v>
      </c>
      <c r="S959" s="307">
        <f t="shared" ca="1" si="427"/>
        <v>12.409999999999973</v>
      </c>
      <c r="T959" s="304">
        <f t="shared" ca="1" si="407"/>
        <v>121.74209999999975</v>
      </c>
      <c r="U959" s="311">
        <f t="shared" ca="1" si="408"/>
        <v>0</v>
      </c>
      <c r="V959" s="306">
        <f t="shared" ca="1" si="409"/>
        <v>1.2252475992042513</v>
      </c>
      <c r="W959" s="304">
        <f t="shared" ca="1" si="410"/>
        <v>78.372845117178514</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3.3891336741648175</v>
      </c>
      <c r="AH959" s="304">
        <f t="shared" ca="1" si="434"/>
        <v>-6.3152617207788317</v>
      </c>
    </row>
    <row r="960" spans="1:34" x14ac:dyDescent="0.25">
      <c r="A960" s="347">
        <f t="shared" ca="1" si="412"/>
        <v>1E-4</v>
      </c>
      <c r="B960" s="304">
        <f t="shared" ca="1" si="413"/>
        <v>43.906700000000512</v>
      </c>
      <c r="D960" s="306">
        <f t="shared" ca="1" si="414"/>
        <v>-0.92414748174298444</v>
      </c>
      <c r="E960" s="307">
        <f t="shared" ca="1" si="415"/>
        <v>-3.5626856055159868</v>
      </c>
      <c r="F960" s="304">
        <f t="shared" ca="1" si="416"/>
        <v>3.6805946926770829</v>
      </c>
      <c r="G960" s="306">
        <f t="shared" ca="1" si="417"/>
        <v>24.491569625448498</v>
      </c>
      <c r="H960" s="307">
        <f t="shared" ca="1" si="418"/>
        <v>-165.56604338159562</v>
      </c>
      <c r="I960" s="304">
        <f t="shared" ca="1" si="419"/>
        <v>167.36771404232834</v>
      </c>
      <c r="J960" s="306">
        <f t="shared" ca="1" si="420"/>
        <v>1638.9749615397848</v>
      </c>
      <c r="K960" s="307">
        <f t="shared" ca="1" si="421"/>
        <v>-2.0375703349441179</v>
      </c>
      <c r="L960" s="304">
        <f t="shared" ca="1" si="406"/>
        <v>1638.9762280909413</v>
      </c>
      <c r="M960" s="306">
        <f t="shared" ca="1" si="422"/>
        <v>-1.423935077244209</v>
      </c>
      <c r="N960" s="304">
        <f t="shared" ca="1" si="423"/>
        <v>-81.585470226728049</v>
      </c>
      <c r="P960" s="310">
        <f t="shared" ca="1" si="424"/>
        <v>23</v>
      </c>
      <c r="Q960" s="304">
        <f t="shared" ca="1" si="425"/>
        <v>0</v>
      </c>
      <c r="R960" s="306">
        <f t="shared" ca="1" si="426"/>
        <v>0</v>
      </c>
      <c r="S960" s="307">
        <f t="shared" ca="1" si="427"/>
        <v>12.409999999999973</v>
      </c>
      <c r="T960" s="304">
        <f t="shared" ca="1" si="407"/>
        <v>121.74209999999975</v>
      </c>
      <c r="U960" s="311">
        <f t="shared" ca="1" si="408"/>
        <v>0</v>
      </c>
      <c r="V960" s="306">
        <f t="shared" ca="1" si="409"/>
        <v>1.2252496277977407</v>
      </c>
      <c r="W960" s="304">
        <f t="shared" ca="1" si="410"/>
        <v>78.373292278420521</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3.3890988730520419</v>
      </c>
      <c r="AH960" s="304">
        <f t="shared" ca="1" si="434"/>
        <v>-6.3152977531973153</v>
      </c>
    </row>
    <row r="961" spans="1:34" x14ac:dyDescent="0.25">
      <c r="A961" s="347">
        <f t="shared" ca="1" si="412"/>
        <v>1E-4</v>
      </c>
      <c r="B961" s="304">
        <f t="shared" ca="1" si="413"/>
        <v>43.906800000000516</v>
      </c>
      <c r="D961" s="306">
        <f t="shared" ca="1" si="414"/>
        <v>-0.92414739605707075</v>
      </c>
      <c r="E961" s="307">
        <f t="shared" ca="1" si="415"/>
        <v>-3.5626491684065895</v>
      </c>
      <c r="F961" s="304">
        <f t="shared" ca="1" si="416"/>
        <v>3.6805594013393166</v>
      </c>
      <c r="G961" s="306">
        <f t="shared" ca="1" si="417"/>
        <v>24.491477210708894</v>
      </c>
      <c r="H961" s="307">
        <f t="shared" ca="1" si="418"/>
        <v>-165.56639964651245</v>
      </c>
      <c r="I961" s="304">
        <f t="shared" ca="1" si="419"/>
        <v>167.3680529487971</v>
      </c>
      <c r="J961" s="306">
        <f t="shared" ca="1" si="420"/>
        <v>1638.9749615397848</v>
      </c>
      <c r="K961" s="307">
        <f t="shared" ca="1" si="421"/>
        <v>-2.0541269570955234</v>
      </c>
      <c r="L961" s="304">
        <f t="shared" ca="1" si="406"/>
        <v>1638.97624875771</v>
      </c>
      <c r="M961" s="306">
        <f t="shared" ca="1" si="422"/>
        <v>-1.4239359349559959</v>
      </c>
      <c r="N961" s="304">
        <f t="shared" ca="1" si="423"/>
        <v>-81.585519369993477</v>
      </c>
      <c r="P961" s="310">
        <f t="shared" ca="1" si="424"/>
        <v>23</v>
      </c>
      <c r="Q961" s="304">
        <f t="shared" ca="1" si="425"/>
        <v>0</v>
      </c>
      <c r="R961" s="306">
        <f t="shared" ca="1" si="426"/>
        <v>0</v>
      </c>
      <c r="S961" s="307">
        <f t="shared" ca="1" si="427"/>
        <v>12.409999999999973</v>
      </c>
      <c r="T961" s="304">
        <f t="shared" ca="1" si="407"/>
        <v>121.74209999999975</v>
      </c>
      <c r="U961" s="311">
        <f t="shared" ca="1" si="408"/>
        <v>0</v>
      </c>
      <c r="V961" s="306">
        <f t="shared" ca="1" si="409"/>
        <v>1.2252516563989539</v>
      </c>
      <c r="W961" s="304">
        <f t="shared" ca="1" si="410"/>
        <v>78.373739438591031</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3.3890640720088276</v>
      </c>
      <c r="AH961" s="304">
        <f t="shared" ca="1" si="434"/>
        <v>-6.3153337855294671</v>
      </c>
    </row>
    <row r="962" spans="1:34" x14ac:dyDescent="0.25">
      <c r="A962" s="347">
        <f t="shared" ca="1" si="412"/>
        <v>1E-4</v>
      </c>
      <c r="B962" s="304">
        <f t="shared" ca="1" si="413"/>
        <v>43.906900000000519</v>
      </c>
      <c r="D962" s="306">
        <f t="shared" ca="1" si="414"/>
        <v>-0.92414731033861652</v>
      </c>
      <c r="E962" s="307">
        <f t="shared" ca="1" si="415"/>
        <v>-3.5626127313843554</v>
      </c>
      <c r="F962" s="304">
        <f t="shared" ca="1" si="416"/>
        <v>3.6805241101000812</v>
      </c>
      <c r="G962" s="306">
        <f t="shared" ca="1" si="417"/>
        <v>24.491384795977861</v>
      </c>
      <c r="H962" s="307">
        <f t="shared" ca="1" si="418"/>
        <v>-165.56675590778559</v>
      </c>
      <c r="I962" s="304">
        <f t="shared" ca="1" si="419"/>
        <v>167.36839185178579</v>
      </c>
      <c r="J962" s="306">
        <f t="shared" ca="1" si="420"/>
        <v>1638.9749615397848</v>
      </c>
      <c r="K962" s="307">
        <f t="shared" ca="1" si="421"/>
        <v>-2.0706836148732384</v>
      </c>
      <c r="L962" s="304">
        <f t="shared" ca="1" si="406"/>
        <v>1638.9762695917755</v>
      </c>
      <c r="M962" s="306">
        <f t="shared" ca="1" si="422"/>
        <v>-1.4239367926610729</v>
      </c>
      <c r="N962" s="304">
        <f t="shared" ca="1" si="423"/>
        <v>-81.585568512874445</v>
      </c>
      <c r="P962" s="310">
        <f t="shared" ca="1" si="424"/>
        <v>23</v>
      </c>
      <c r="Q962" s="304">
        <f t="shared" ca="1" si="425"/>
        <v>0</v>
      </c>
      <c r="R962" s="306">
        <f t="shared" ca="1" si="426"/>
        <v>0</v>
      </c>
      <c r="S962" s="307">
        <f t="shared" ca="1" si="427"/>
        <v>12.409999999999973</v>
      </c>
      <c r="T962" s="304">
        <f t="shared" ca="1" si="407"/>
        <v>121.74209999999975</v>
      </c>
      <c r="U962" s="311">
        <f t="shared" ca="1" si="408"/>
        <v>0</v>
      </c>
      <c r="V962" s="306">
        <f t="shared" ca="1" si="409"/>
        <v>1.2252536850078917</v>
      </c>
      <c r="W962" s="304">
        <f t="shared" ca="1" si="410"/>
        <v>78.374186597690127</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3.3890292710351817</v>
      </c>
      <c r="AH962" s="304">
        <f t="shared" ca="1" si="434"/>
        <v>-6.3153698177752782</v>
      </c>
    </row>
    <row r="963" spans="1:34" x14ac:dyDescent="0.25">
      <c r="A963" s="347">
        <f t="shared" ca="1" si="412"/>
        <v>1E-4</v>
      </c>
      <c r="B963" s="304">
        <f t="shared" ca="1" si="413"/>
        <v>43.907000000000522</v>
      </c>
      <c r="D963" s="306">
        <f t="shared" ca="1" si="414"/>
        <v>-0.92414722458762355</v>
      </c>
      <c r="E963" s="307">
        <f t="shared" ca="1" si="415"/>
        <v>-3.5625762944492791</v>
      </c>
      <c r="F963" s="304">
        <f t="shared" ca="1" si="416"/>
        <v>3.6804888189593736</v>
      </c>
      <c r="G963" s="306">
        <f t="shared" ca="1" si="417"/>
        <v>24.491292381255402</v>
      </c>
      <c r="H963" s="307">
        <f t="shared" ca="1" si="418"/>
        <v>-165.56711216541504</v>
      </c>
      <c r="I963" s="304">
        <f t="shared" ca="1" si="419"/>
        <v>167.36873075129435</v>
      </c>
      <c r="J963" s="306">
        <f t="shared" ca="1" si="420"/>
        <v>1638.9749615397848</v>
      </c>
      <c r="K963" s="307">
        <f t="shared" ca="1" si="421"/>
        <v>-2.0872403082768982</v>
      </c>
      <c r="L963" s="304">
        <f t="shared" ca="1" si="406"/>
        <v>1638.9762905931384</v>
      </c>
      <c r="M963" s="306">
        <f t="shared" ca="1" si="422"/>
        <v>-1.4239376503594399</v>
      </c>
      <c r="N963" s="304">
        <f t="shared" ca="1" si="423"/>
        <v>-81.585617655370967</v>
      </c>
      <c r="P963" s="310">
        <f t="shared" ca="1" si="424"/>
        <v>23</v>
      </c>
      <c r="Q963" s="304">
        <f t="shared" ca="1" si="425"/>
        <v>0</v>
      </c>
      <c r="R963" s="306">
        <f t="shared" ca="1" si="426"/>
        <v>0</v>
      </c>
      <c r="S963" s="307">
        <f t="shared" ca="1" si="427"/>
        <v>12.409999999999973</v>
      </c>
      <c r="T963" s="304">
        <f t="shared" ca="1" si="407"/>
        <v>121.74209999999975</v>
      </c>
      <c r="U963" s="311">
        <f t="shared" ca="1" si="408"/>
        <v>0</v>
      </c>
      <c r="V963" s="306">
        <f t="shared" ca="1" si="409"/>
        <v>1.2252557136245532</v>
      </c>
      <c r="W963" s="304">
        <f t="shared" ca="1" si="410"/>
        <v>78.374633755717667</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3.3889944701310988</v>
      </c>
      <c r="AH963" s="304">
        <f t="shared" ca="1" si="434"/>
        <v>-6.3154058499347538</v>
      </c>
    </row>
    <row r="964" spans="1:34" x14ac:dyDescent="0.25">
      <c r="A964" s="347">
        <f t="shared" ca="1" si="412"/>
        <v>1E-4</v>
      </c>
      <c r="B964" s="304">
        <f t="shared" ca="1" si="413"/>
        <v>43.907100000000526</v>
      </c>
      <c r="D964" s="306">
        <f t="shared" ca="1" si="414"/>
        <v>-0.92414713880409116</v>
      </c>
      <c r="E964" s="307">
        <f t="shared" ca="1" si="415"/>
        <v>-3.5625398576013723</v>
      </c>
      <c r="F964" s="304">
        <f t="shared" ca="1" si="416"/>
        <v>3.6804535279172041</v>
      </c>
      <c r="G964" s="306">
        <f t="shared" ca="1" si="417"/>
        <v>24.491199966541522</v>
      </c>
      <c r="H964" s="307">
        <f t="shared" ca="1" si="418"/>
        <v>-165.5674684194008</v>
      </c>
      <c r="I964" s="304">
        <f t="shared" ca="1" si="419"/>
        <v>167.36906964732285</v>
      </c>
      <c r="J964" s="306">
        <f t="shared" ca="1" si="420"/>
        <v>1638.9749615397848</v>
      </c>
      <c r="K964" s="307">
        <f t="shared" ca="1" si="421"/>
        <v>-2.1037970373061392</v>
      </c>
      <c r="L964" s="304">
        <f t="shared" ref="L964:L1004" ca="1" si="435">SQRT(pos_x^2+pos_z^2)</f>
        <v>1638.9763117618002</v>
      </c>
      <c r="M964" s="306">
        <f t="shared" ca="1" si="422"/>
        <v>-1.4239385080510971</v>
      </c>
      <c r="N964" s="304">
        <f t="shared" ca="1" si="423"/>
        <v>-81.585666797483057</v>
      </c>
      <c r="P964" s="310">
        <f t="shared" ca="1" si="424"/>
        <v>23</v>
      </c>
      <c r="Q964" s="304">
        <f t="shared" ca="1" si="425"/>
        <v>0</v>
      </c>
      <c r="R964" s="306">
        <f t="shared" ca="1" si="426"/>
        <v>0</v>
      </c>
      <c r="S964" s="307">
        <f t="shared" ca="1" si="427"/>
        <v>12.409999999999973</v>
      </c>
      <c r="T964" s="304">
        <f t="shared" ref="T964:T1004" ca="1" si="436">m*g</f>
        <v>121.74209999999975</v>
      </c>
      <c r="U964" s="311">
        <f t="shared" ref="U964:U1004" ca="1" si="437">IF(pos_xz&lt;L_rampe,Poids*COS(Beta),0)</f>
        <v>0</v>
      </c>
      <c r="V964" s="306">
        <f t="shared" ref="V964:V1004" ca="1" si="438">Rho_moyen*(20000-Alt_rampe-pos_z)/(20000+Alt_rampe+pos_z)</f>
        <v>1.2252577422489392</v>
      </c>
      <c r="W964" s="304">
        <f t="shared" ref="W964:W1003" ca="1" si="439">1/2*Rho*Sref*Cx*vit_xz^2</f>
        <v>78.375080912673752</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3.3889596692965913</v>
      </c>
      <c r="AH964" s="304">
        <f t="shared" ca="1" si="434"/>
        <v>-6.3154418820078835</v>
      </c>
    </row>
    <row r="965" spans="1:34" x14ac:dyDescent="0.25">
      <c r="A965" s="347">
        <f t="shared" ref="A965:A1004" ca="1" si="441">IF(B964+0.01&lt;=T_ini+ROUNDUP(Temps_fin_propu,0), 0.01, IF(K964&gt;0, 0.1, 0.0001))</f>
        <v>1E-4</v>
      </c>
      <c r="B965" s="304">
        <f t="shared" ref="B965:B1004" ca="1" si="442">B964+pas</f>
        <v>43.907200000000529</v>
      </c>
      <c r="D965" s="306">
        <f t="shared" ref="D965:D1004" ca="1" si="443">IF(AND(L964&lt;L_rampe,Poussee&lt;Poids*SIN(M964)),0,(-W964+Poussee)/m*COS(M964)-U964/m*SIN(M964))</f>
        <v>-0.92414705298802036</v>
      </c>
      <c r="E965" s="307">
        <f t="shared" ref="E965:E1004" ca="1" si="444">IF(AND(L964&lt;L_rampe,Poussee&lt;Poids*SIN(M964)),0,(-W964+Poussee)/m*SIN(M964)+U964/m*COS(M964)-Poids/m)</f>
        <v>-3.5625034208406259</v>
      </c>
      <c r="F965" s="304">
        <f t="shared" ref="F965:F1004" ca="1" si="445">SQRT(acc_x^2+acc_z^2)</f>
        <v>3.6804182369735652</v>
      </c>
      <c r="G965" s="306">
        <f t="shared" ref="G965:G1004" ca="1" si="446">G964+acc_x*pas</f>
        <v>24.491107551836222</v>
      </c>
      <c r="H965" s="307">
        <f t="shared" ref="H965:H1004" ca="1" si="447">H964+acc_z*pas</f>
        <v>-165.56782466974289</v>
      </c>
      <c r="I965" s="304">
        <f t="shared" ref="I965:I1004" ca="1" si="448">SQRT(vit_x^2+vit_z^2)</f>
        <v>167.36940853987124</v>
      </c>
      <c r="J965" s="306">
        <f t="shared" ref="J965:J1004" ca="1" si="449">J964+0.5*(vit_x+G964)*pas*(K964&gt;=0)</f>
        <v>1638.9749615397848</v>
      </c>
      <c r="K965" s="307">
        <f t="shared" ref="K965:K1004" ca="1" si="450">K964+0.5*(vit_z+H964)*pas</f>
        <v>-2.1203538019605963</v>
      </c>
      <c r="L965" s="304">
        <f t="shared" ca="1" si="435"/>
        <v>1638.9763330977614</v>
      </c>
      <c r="M965" s="306">
        <f t="shared" ref="M965:M1004" ca="1" si="451">IF(AND(L964&gt;L_rampe,G965&gt;0),ATAN2(G965,H965),$M$4)</f>
        <v>-1.4239393657360446</v>
      </c>
      <c r="N965" s="304">
        <f t="shared" ref="N965:N1004" ca="1" si="452">DEGREES(Beta)</f>
        <v>-81.585715939210701</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12.409999999999973</v>
      </c>
      <c r="T965" s="304">
        <f t="shared" ca="1" si="436"/>
        <v>121.74209999999975</v>
      </c>
      <c r="U965" s="311">
        <f t="shared" ca="1" si="437"/>
        <v>0</v>
      </c>
      <c r="V965" s="306">
        <f t="shared" ca="1" si="438"/>
        <v>1.2252597708810491</v>
      </c>
      <c r="W965" s="304">
        <f t="shared" ca="1" si="439"/>
        <v>78.375528068558253</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3.3889248685316495</v>
      </c>
      <c r="AH965" s="304">
        <f t="shared" ref="AH965:AH1004" ca="1" si="463">IF(AND(L964&lt;L_rampe,Poussee&lt;Poids*SIN(M964)), g*SIN(M964), (-W964+Poussee)/m)</f>
        <v>-6.3154779139946751</v>
      </c>
    </row>
    <row r="966" spans="1:34" x14ac:dyDescent="0.25">
      <c r="A966" s="347">
        <f t="shared" ca="1" si="441"/>
        <v>1E-4</v>
      </c>
      <c r="B966" s="304">
        <f t="shared" ca="1" si="442"/>
        <v>43.907300000000532</v>
      </c>
      <c r="D966" s="306">
        <f t="shared" ca="1" si="443"/>
        <v>-0.92414696713941058</v>
      </c>
      <c r="E966" s="307">
        <f t="shared" ca="1" si="444"/>
        <v>-3.5624669841670498</v>
      </c>
      <c r="F966" s="304">
        <f t="shared" ca="1" si="445"/>
        <v>3.6803829461284656</v>
      </c>
      <c r="G966" s="306">
        <f t="shared" ca="1" si="446"/>
        <v>24.49101513713951</v>
      </c>
      <c r="H966" s="307">
        <f t="shared" ca="1" si="447"/>
        <v>-165.56818091644132</v>
      </c>
      <c r="I966" s="304">
        <f t="shared" ca="1" si="448"/>
        <v>167.36974742893963</v>
      </c>
      <c r="J966" s="306">
        <f t="shared" ca="1" si="449"/>
        <v>1638.9749615397848</v>
      </c>
      <c r="K966" s="307">
        <f t="shared" ca="1" si="450"/>
        <v>-2.1369106022399054</v>
      </c>
      <c r="L966" s="304">
        <f t="shared" ca="1" si="435"/>
        <v>1638.9763546010238</v>
      </c>
      <c r="M966" s="306">
        <f t="shared" ca="1" si="451"/>
        <v>-1.4239402234142826</v>
      </c>
      <c r="N966" s="304">
        <f t="shared" ca="1" si="452"/>
        <v>-81.585765080553927</v>
      </c>
      <c r="P966" s="310">
        <f t="shared" ca="1" si="453"/>
        <v>23</v>
      </c>
      <c r="Q966" s="304">
        <f t="shared" ca="1" si="454"/>
        <v>0</v>
      </c>
      <c r="R966" s="306">
        <f t="shared" ca="1" si="455"/>
        <v>0</v>
      </c>
      <c r="S966" s="307">
        <f t="shared" ca="1" si="456"/>
        <v>12.409999999999973</v>
      </c>
      <c r="T966" s="304">
        <f t="shared" ca="1" si="436"/>
        <v>121.74209999999975</v>
      </c>
      <c r="U966" s="311">
        <f t="shared" ca="1" si="437"/>
        <v>0</v>
      </c>
      <c r="V966" s="306">
        <f t="shared" ca="1" si="438"/>
        <v>1.225261799520883</v>
      </c>
      <c r="W966" s="304">
        <f t="shared" ca="1" si="439"/>
        <v>78.37597522337127</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3.388890067836285</v>
      </c>
      <c r="AH966" s="304">
        <f t="shared" ca="1" si="463"/>
        <v>-6.3155139458951188</v>
      </c>
    </row>
    <row r="967" spans="1:34" x14ac:dyDescent="0.25">
      <c r="A967" s="347">
        <f t="shared" ca="1" si="441"/>
        <v>1E-4</v>
      </c>
      <c r="B967" s="304">
        <f t="shared" ca="1" si="442"/>
        <v>43.907400000000536</v>
      </c>
      <c r="D967" s="306">
        <f t="shared" ca="1" si="443"/>
        <v>-0.92414688125826194</v>
      </c>
      <c r="E967" s="307">
        <f t="shared" ca="1" si="444"/>
        <v>-3.5624305475806386</v>
      </c>
      <c r="F967" s="304">
        <f t="shared" ca="1" si="445"/>
        <v>3.6803476553819015</v>
      </c>
      <c r="G967" s="306">
        <f t="shared" ca="1" si="446"/>
        <v>24.490922722451383</v>
      </c>
      <c r="H967" s="307">
        <f t="shared" ca="1" si="447"/>
        <v>-165.56853715949609</v>
      </c>
      <c r="I967" s="304">
        <f t="shared" ca="1" si="448"/>
        <v>167.37008631452792</v>
      </c>
      <c r="J967" s="306">
        <f t="shared" ca="1" si="449"/>
        <v>1638.9749615397848</v>
      </c>
      <c r="K967" s="307">
        <f t="shared" ca="1" si="450"/>
        <v>-2.1534674381437022</v>
      </c>
      <c r="L967" s="304">
        <f t="shared" ca="1" si="435"/>
        <v>1638.9763762715882</v>
      </c>
      <c r="M967" s="306">
        <f t="shared" ca="1" si="451"/>
        <v>-1.4239410810858109</v>
      </c>
      <c r="N967" s="304">
        <f t="shared" ca="1" si="452"/>
        <v>-81.585814221512692</v>
      </c>
      <c r="P967" s="310">
        <f t="shared" ca="1" si="453"/>
        <v>23</v>
      </c>
      <c r="Q967" s="304">
        <f t="shared" ca="1" si="454"/>
        <v>0</v>
      </c>
      <c r="R967" s="306">
        <f t="shared" ca="1" si="455"/>
        <v>0</v>
      </c>
      <c r="S967" s="307">
        <f t="shared" ca="1" si="456"/>
        <v>12.409999999999973</v>
      </c>
      <c r="T967" s="304">
        <f t="shared" ca="1" si="436"/>
        <v>121.74209999999975</v>
      </c>
      <c r="U967" s="311">
        <f t="shared" ca="1" si="437"/>
        <v>0</v>
      </c>
      <c r="V967" s="306">
        <f t="shared" ca="1" si="438"/>
        <v>1.2252638281684411</v>
      </c>
      <c r="W967" s="304">
        <f t="shared" ca="1" si="439"/>
        <v>78.376422377112689</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3.3888552672104932</v>
      </c>
      <c r="AH967" s="304">
        <f t="shared" ca="1" si="463"/>
        <v>-6.315549977709221</v>
      </c>
    </row>
    <row r="968" spans="1:34" x14ac:dyDescent="0.25">
      <c r="A968" s="347">
        <f t="shared" ca="1" si="441"/>
        <v>1E-4</v>
      </c>
      <c r="B968" s="304">
        <f t="shared" ca="1" si="442"/>
        <v>43.907500000000539</v>
      </c>
      <c r="D968" s="306">
        <f t="shared" ca="1" si="443"/>
        <v>-0.924146795344576</v>
      </c>
      <c r="E968" s="307">
        <f t="shared" ca="1" si="444"/>
        <v>-3.5623941110813986</v>
      </c>
      <c r="F968" s="304">
        <f t="shared" ca="1" si="445"/>
        <v>3.6803123647338793</v>
      </c>
      <c r="G968" s="306">
        <f t="shared" ca="1" si="446"/>
        <v>24.490830307771848</v>
      </c>
      <c r="H968" s="307">
        <f t="shared" ca="1" si="447"/>
        <v>-165.56889339890719</v>
      </c>
      <c r="I968" s="304">
        <f t="shared" ca="1" si="448"/>
        <v>167.37042519663612</v>
      </c>
      <c r="J968" s="306">
        <f t="shared" ca="1" si="449"/>
        <v>1638.9749615397848</v>
      </c>
      <c r="K968" s="307">
        <f t="shared" ca="1" si="450"/>
        <v>-2.1700243096716223</v>
      </c>
      <c r="L968" s="304">
        <f t="shared" ca="1" si="435"/>
        <v>1638.9763981094552</v>
      </c>
      <c r="M968" s="306">
        <f t="shared" ca="1" si="451"/>
        <v>-1.4239419387506296</v>
      </c>
      <c r="N968" s="304">
        <f t="shared" ca="1" si="452"/>
        <v>-81.585863362087039</v>
      </c>
      <c r="P968" s="310">
        <f t="shared" ca="1" si="453"/>
        <v>23</v>
      </c>
      <c r="Q968" s="304">
        <f t="shared" ca="1" si="454"/>
        <v>0</v>
      </c>
      <c r="R968" s="306">
        <f t="shared" ca="1" si="455"/>
        <v>0</v>
      </c>
      <c r="S968" s="307">
        <f t="shared" ca="1" si="456"/>
        <v>12.409999999999973</v>
      </c>
      <c r="T968" s="304">
        <f t="shared" ca="1" si="436"/>
        <v>121.74209999999975</v>
      </c>
      <c r="U968" s="311">
        <f t="shared" ca="1" si="437"/>
        <v>0</v>
      </c>
      <c r="V968" s="306">
        <f t="shared" ca="1" si="438"/>
        <v>1.2252658568237234</v>
      </c>
      <c r="W968" s="304">
        <f t="shared" ca="1" si="439"/>
        <v>78.376869529782454</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3.3888204666542796</v>
      </c>
      <c r="AH968" s="304">
        <f t="shared" ca="1" si="463"/>
        <v>-6.3155860094369745</v>
      </c>
    </row>
    <row r="969" spans="1:34" x14ac:dyDescent="0.25">
      <c r="A969" s="347">
        <f t="shared" ca="1" si="441"/>
        <v>1E-4</v>
      </c>
      <c r="B969" s="304">
        <f t="shared" ca="1" si="442"/>
        <v>43.907600000000542</v>
      </c>
      <c r="D969" s="306">
        <f t="shared" ca="1" si="443"/>
        <v>-0.92414670939835164</v>
      </c>
      <c r="E969" s="307">
        <f t="shared" ca="1" si="444"/>
        <v>-3.5623576746693351</v>
      </c>
      <c r="F969" s="304">
        <f t="shared" ca="1" si="445"/>
        <v>3.6802770741844038</v>
      </c>
      <c r="G969" s="306">
        <f t="shared" ca="1" si="446"/>
        <v>24.490737893100906</v>
      </c>
      <c r="H969" s="307">
        <f t="shared" ca="1" si="447"/>
        <v>-165.56924963467466</v>
      </c>
      <c r="I969" s="304">
        <f t="shared" ca="1" si="448"/>
        <v>167.3707640752643</v>
      </c>
      <c r="J969" s="306">
        <f t="shared" ca="1" si="449"/>
        <v>1638.9749615397848</v>
      </c>
      <c r="K969" s="307">
        <f t="shared" ca="1" si="450"/>
        <v>-2.1865812168233014</v>
      </c>
      <c r="L969" s="304">
        <f t="shared" ca="1" si="435"/>
        <v>1638.9764201146265</v>
      </c>
      <c r="M969" s="306">
        <f t="shared" ca="1" si="451"/>
        <v>-1.423942796408739</v>
      </c>
      <c r="N969" s="304">
        <f t="shared" ca="1" si="452"/>
        <v>-81.585912502276983</v>
      </c>
      <c r="P969" s="310">
        <f t="shared" ca="1" si="453"/>
        <v>23</v>
      </c>
      <c r="Q969" s="304">
        <f t="shared" ca="1" si="454"/>
        <v>0</v>
      </c>
      <c r="R969" s="306">
        <f t="shared" ca="1" si="455"/>
        <v>0</v>
      </c>
      <c r="S969" s="307">
        <f t="shared" ca="1" si="456"/>
        <v>12.409999999999973</v>
      </c>
      <c r="T969" s="304">
        <f t="shared" ca="1" si="436"/>
        <v>121.74209999999975</v>
      </c>
      <c r="U969" s="311">
        <f t="shared" ca="1" si="437"/>
        <v>0</v>
      </c>
      <c r="V969" s="306">
        <f t="shared" ca="1" si="438"/>
        <v>1.2252678854867294</v>
      </c>
      <c r="W969" s="304">
        <f t="shared" ca="1" si="439"/>
        <v>78.377316681380634</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3.3887856661676494</v>
      </c>
      <c r="AH969" s="304">
        <f t="shared" ca="1" si="463"/>
        <v>-6.3156220410783739</v>
      </c>
    </row>
    <row r="970" spans="1:34" x14ac:dyDescent="0.25">
      <c r="A970" s="347">
        <f t="shared" ca="1" si="441"/>
        <v>1E-4</v>
      </c>
      <c r="B970" s="304">
        <f t="shared" ca="1" si="442"/>
        <v>43.907700000000546</v>
      </c>
      <c r="D970" s="306">
        <f t="shared" ca="1" si="443"/>
        <v>-0.92414662341958909</v>
      </c>
      <c r="E970" s="307">
        <f t="shared" ca="1" si="444"/>
        <v>-3.5623212383444436</v>
      </c>
      <c r="F970" s="304">
        <f t="shared" ca="1" si="445"/>
        <v>3.6802417837334707</v>
      </c>
      <c r="G970" s="306">
        <f t="shared" ca="1" si="446"/>
        <v>24.490645478438566</v>
      </c>
      <c r="H970" s="307">
        <f t="shared" ca="1" si="447"/>
        <v>-165.5696058667985</v>
      </c>
      <c r="I970" s="304">
        <f t="shared" ca="1" si="448"/>
        <v>167.37110295041245</v>
      </c>
      <c r="J970" s="306">
        <f t="shared" ca="1" si="449"/>
        <v>1638.9749615397848</v>
      </c>
      <c r="K970" s="307">
        <f t="shared" ca="1" si="450"/>
        <v>-2.203138159598375</v>
      </c>
      <c r="L970" s="304">
        <f t="shared" ca="1" si="435"/>
        <v>1638.9764422871031</v>
      </c>
      <c r="M970" s="306">
        <f t="shared" ca="1" si="451"/>
        <v>-1.4239436540601391</v>
      </c>
      <c r="N970" s="304">
        <f t="shared" ca="1" si="452"/>
        <v>-81.585961642082495</v>
      </c>
      <c r="P970" s="310">
        <f t="shared" ca="1" si="453"/>
        <v>23</v>
      </c>
      <c r="Q970" s="304">
        <f t="shared" ca="1" si="454"/>
        <v>0</v>
      </c>
      <c r="R970" s="306">
        <f t="shared" ca="1" si="455"/>
        <v>0</v>
      </c>
      <c r="S970" s="307">
        <f t="shared" ca="1" si="456"/>
        <v>12.409999999999973</v>
      </c>
      <c r="T970" s="304">
        <f t="shared" ca="1" si="436"/>
        <v>121.74209999999975</v>
      </c>
      <c r="U970" s="311">
        <f t="shared" ca="1" si="437"/>
        <v>0</v>
      </c>
      <c r="V970" s="306">
        <f t="shared" ca="1" si="438"/>
        <v>1.2252699141574599</v>
      </c>
      <c r="W970" s="304">
        <f t="shared" ca="1" si="439"/>
        <v>78.377763831907203</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3.3887508657505991</v>
      </c>
      <c r="AH970" s="304">
        <f t="shared" ca="1" si="463"/>
        <v>-6.3156580726334246</v>
      </c>
    </row>
    <row r="971" spans="1:34" x14ac:dyDescent="0.25">
      <c r="A971" s="347">
        <f t="shared" ca="1" si="441"/>
        <v>1E-4</v>
      </c>
      <c r="B971" s="304">
        <f t="shared" ca="1" si="442"/>
        <v>43.907800000000549</v>
      </c>
      <c r="D971" s="306">
        <f t="shared" ca="1" si="443"/>
        <v>-0.92414653740828889</v>
      </c>
      <c r="E971" s="307">
        <f t="shared" ca="1" si="444"/>
        <v>-3.562284802106725</v>
      </c>
      <c r="F971" s="304">
        <f t="shared" ca="1" si="445"/>
        <v>3.6802064933810819</v>
      </c>
      <c r="G971" s="306">
        <f t="shared" ca="1" si="446"/>
        <v>24.490553063784827</v>
      </c>
      <c r="H971" s="307">
        <f t="shared" ca="1" si="447"/>
        <v>-165.5699620952787</v>
      </c>
      <c r="I971" s="304">
        <f t="shared" ca="1" si="448"/>
        <v>167.37144182208053</v>
      </c>
      <c r="J971" s="306">
        <f t="shared" ca="1" si="449"/>
        <v>1638.9749615397848</v>
      </c>
      <c r="K971" s="307">
        <f t="shared" ca="1" si="450"/>
        <v>-2.2196951379964789</v>
      </c>
      <c r="L971" s="304">
        <f t="shared" ca="1" si="435"/>
        <v>1638.9764646268857</v>
      </c>
      <c r="M971" s="306">
        <f t="shared" ca="1" si="451"/>
        <v>-1.4239445117048302</v>
      </c>
      <c r="N971" s="304">
        <f t="shared" ca="1" si="452"/>
        <v>-81.586010781503617</v>
      </c>
      <c r="P971" s="310">
        <f t="shared" ca="1" si="453"/>
        <v>23</v>
      </c>
      <c r="Q971" s="304">
        <f t="shared" ca="1" si="454"/>
        <v>0</v>
      </c>
      <c r="R971" s="306">
        <f t="shared" ca="1" si="455"/>
        <v>0</v>
      </c>
      <c r="S971" s="307">
        <f t="shared" ca="1" si="456"/>
        <v>12.409999999999973</v>
      </c>
      <c r="T971" s="304">
        <f t="shared" ca="1" si="436"/>
        <v>121.74209999999975</v>
      </c>
      <c r="U971" s="311">
        <f t="shared" ca="1" si="437"/>
        <v>0</v>
      </c>
      <c r="V971" s="306">
        <f t="shared" ca="1" si="438"/>
        <v>1.225271942835914</v>
      </c>
      <c r="W971" s="304">
        <f t="shared" ca="1" si="439"/>
        <v>78.378210981362059</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3.3887160654031305</v>
      </c>
      <c r="AH971" s="304">
        <f t="shared" ca="1" si="463"/>
        <v>-6.3156941041021248</v>
      </c>
    </row>
    <row r="972" spans="1:34" x14ac:dyDescent="0.25">
      <c r="A972" s="347">
        <f t="shared" ca="1" si="441"/>
        <v>1E-4</v>
      </c>
      <c r="B972" s="304">
        <f t="shared" ca="1" si="442"/>
        <v>43.907900000000552</v>
      </c>
      <c r="D972" s="306">
        <f t="shared" ca="1" si="443"/>
        <v>-0.92414645136444962</v>
      </c>
      <c r="E972" s="307">
        <f t="shared" ca="1" si="444"/>
        <v>-3.5622483659561874</v>
      </c>
      <c r="F972" s="304">
        <f t="shared" ca="1" si="445"/>
        <v>3.6801712031272449</v>
      </c>
      <c r="G972" s="306">
        <f t="shared" ca="1" si="446"/>
        <v>24.490460649139688</v>
      </c>
      <c r="H972" s="307">
        <f t="shared" ca="1" si="447"/>
        <v>-165.57031832011529</v>
      </c>
      <c r="I972" s="304">
        <f t="shared" ca="1" si="448"/>
        <v>167.37178069026857</v>
      </c>
      <c r="J972" s="306">
        <f t="shared" ca="1" si="449"/>
        <v>1638.9749615397848</v>
      </c>
      <c r="K972" s="307">
        <f t="shared" ca="1" si="450"/>
        <v>-2.2362521520172485</v>
      </c>
      <c r="L972" s="304">
        <f t="shared" ca="1" si="435"/>
        <v>1638.9764871339755</v>
      </c>
      <c r="M972" s="306">
        <f t="shared" ca="1" si="451"/>
        <v>-1.4239453693428117</v>
      </c>
      <c r="N972" s="304">
        <f t="shared" ca="1" si="452"/>
        <v>-81.586059920540308</v>
      </c>
      <c r="P972" s="310">
        <f t="shared" ca="1" si="453"/>
        <v>23</v>
      </c>
      <c r="Q972" s="304">
        <f t="shared" ca="1" si="454"/>
        <v>0</v>
      </c>
      <c r="R972" s="306">
        <f t="shared" ca="1" si="455"/>
        <v>0</v>
      </c>
      <c r="S972" s="307">
        <f t="shared" ca="1" si="456"/>
        <v>12.409999999999973</v>
      </c>
      <c r="T972" s="304">
        <f t="shared" ca="1" si="436"/>
        <v>121.74209999999975</v>
      </c>
      <c r="U972" s="311">
        <f t="shared" ca="1" si="437"/>
        <v>0</v>
      </c>
      <c r="V972" s="306">
        <f t="shared" ca="1" si="438"/>
        <v>1.2252739715220926</v>
      </c>
      <c r="W972" s="304">
        <f t="shared" ca="1" si="439"/>
        <v>78.378658129745261</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3.3886812651252516</v>
      </c>
      <c r="AH972" s="304">
        <f t="shared" ca="1" si="463"/>
        <v>-6.3157301354844666</v>
      </c>
    </row>
    <row r="973" spans="1:34" x14ac:dyDescent="0.25">
      <c r="A973" s="347">
        <f t="shared" ca="1" si="441"/>
        <v>1E-4</v>
      </c>
      <c r="B973" s="304">
        <f t="shared" ca="1" si="442"/>
        <v>43.908000000000555</v>
      </c>
      <c r="D973" s="306">
        <f t="shared" ca="1" si="443"/>
        <v>-0.92414636528807548</v>
      </c>
      <c r="E973" s="307">
        <f t="shared" ca="1" si="444"/>
        <v>-3.562211929892829</v>
      </c>
      <c r="F973" s="304">
        <f t="shared" ca="1" si="445"/>
        <v>3.6801359129719589</v>
      </c>
      <c r="G973" s="306">
        <f t="shared" ca="1" si="446"/>
        <v>24.490368234503158</v>
      </c>
      <c r="H973" s="307">
        <f t="shared" ca="1" si="447"/>
        <v>-165.57067454130828</v>
      </c>
      <c r="I973" s="304">
        <f t="shared" ca="1" si="448"/>
        <v>167.37211955497662</v>
      </c>
      <c r="J973" s="306">
        <f t="shared" ca="1" si="449"/>
        <v>1638.9749615397848</v>
      </c>
      <c r="K973" s="307">
        <f t="shared" ca="1" si="450"/>
        <v>-2.2528092016603196</v>
      </c>
      <c r="L973" s="304">
        <f t="shared" ca="1" si="435"/>
        <v>1638.9765098083737</v>
      </c>
      <c r="M973" s="306">
        <f t="shared" ca="1" si="451"/>
        <v>-1.4239462269740844</v>
      </c>
      <c r="N973" s="304">
        <f t="shared" ca="1" si="452"/>
        <v>-81.586109059192609</v>
      </c>
      <c r="P973" s="310">
        <f t="shared" ca="1" si="453"/>
        <v>23</v>
      </c>
      <c r="Q973" s="304">
        <f t="shared" ca="1" si="454"/>
        <v>0</v>
      </c>
      <c r="R973" s="306">
        <f t="shared" ca="1" si="455"/>
        <v>0</v>
      </c>
      <c r="S973" s="307">
        <f t="shared" ca="1" si="456"/>
        <v>12.409999999999973</v>
      </c>
      <c r="T973" s="304">
        <f t="shared" ca="1" si="436"/>
        <v>121.74209999999975</v>
      </c>
      <c r="U973" s="311">
        <f t="shared" ca="1" si="437"/>
        <v>0</v>
      </c>
      <c r="V973" s="306">
        <f t="shared" ca="1" si="438"/>
        <v>1.225276000215995</v>
      </c>
      <c r="W973" s="304">
        <f t="shared" ca="1" si="439"/>
        <v>78.37910527705678</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3.3886464649169552</v>
      </c>
      <c r="AH973" s="304">
        <f t="shared" ca="1" si="463"/>
        <v>-6.3157661667804534</v>
      </c>
    </row>
    <row r="974" spans="1:34" x14ac:dyDescent="0.25">
      <c r="A974" s="347">
        <f t="shared" ca="1" si="441"/>
        <v>1E-4</v>
      </c>
      <c r="B974" s="304">
        <f t="shared" ca="1" si="442"/>
        <v>43.908100000000559</v>
      </c>
      <c r="D974" s="306">
        <f t="shared" ca="1" si="443"/>
        <v>-0.92414627917916314</v>
      </c>
      <c r="E974" s="307">
        <f t="shared" ca="1" si="444"/>
        <v>-3.5621754939166479</v>
      </c>
      <c r="F974" s="304">
        <f t="shared" ca="1" si="445"/>
        <v>3.680100622915222</v>
      </c>
      <c r="G974" s="306">
        <f t="shared" ca="1" si="446"/>
        <v>24.49027581987524</v>
      </c>
      <c r="H974" s="307">
        <f t="shared" ca="1" si="447"/>
        <v>-165.57103075885766</v>
      </c>
      <c r="I974" s="304">
        <f t="shared" ca="1" si="448"/>
        <v>167.37245841620467</v>
      </c>
      <c r="J974" s="306">
        <f t="shared" ca="1" si="449"/>
        <v>1638.9749615397848</v>
      </c>
      <c r="K974" s="307">
        <f t="shared" ca="1" si="450"/>
        <v>-2.2693662869253277</v>
      </c>
      <c r="L974" s="304">
        <f t="shared" ca="1" si="435"/>
        <v>1638.9765326500815</v>
      </c>
      <c r="M974" s="306">
        <f t="shared" ca="1" si="451"/>
        <v>-1.4239470845986482</v>
      </c>
      <c r="N974" s="304">
        <f t="shared" ca="1" si="452"/>
        <v>-81.58615819746052</v>
      </c>
      <c r="P974" s="310">
        <f t="shared" ca="1" si="453"/>
        <v>23</v>
      </c>
      <c r="Q974" s="304">
        <f t="shared" ca="1" si="454"/>
        <v>0</v>
      </c>
      <c r="R974" s="306">
        <f t="shared" ca="1" si="455"/>
        <v>0</v>
      </c>
      <c r="S974" s="307">
        <f t="shared" ca="1" si="456"/>
        <v>12.409999999999973</v>
      </c>
      <c r="T974" s="304">
        <f t="shared" ca="1" si="436"/>
        <v>121.74209999999975</v>
      </c>
      <c r="U974" s="311">
        <f t="shared" ca="1" si="437"/>
        <v>0</v>
      </c>
      <c r="V974" s="306">
        <f t="shared" ca="1" si="438"/>
        <v>1.2252780289176208</v>
      </c>
      <c r="W974" s="304">
        <f t="shared" ca="1" si="439"/>
        <v>78.379552423296545</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3.3886116647782512</v>
      </c>
      <c r="AH974" s="304">
        <f t="shared" ca="1" si="463"/>
        <v>-6.3158021979900845</v>
      </c>
    </row>
    <row r="975" spans="1:34" x14ac:dyDescent="0.25">
      <c r="A975" s="347">
        <f t="shared" ca="1" si="441"/>
        <v>1E-4</v>
      </c>
      <c r="B975" s="304">
        <f t="shared" ca="1" si="442"/>
        <v>43.908200000000562</v>
      </c>
      <c r="D975" s="306">
        <f t="shared" ca="1" si="443"/>
        <v>-0.9241461930377125</v>
      </c>
      <c r="E975" s="307">
        <f t="shared" ca="1" si="444"/>
        <v>-3.5621390580276522</v>
      </c>
      <c r="F975" s="304">
        <f t="shared" ca="1" si="445"/>
        <v>3.6800653329570419</v>
      </c>
      <c r="G975" s="306">
        <f t="shared" ca="1" si="446"/>
        <v>24.490183405255937</v>
      </c>
      <c r="H975" s="307">
        <f t="shared" ca="1" si="447"/>
        <v>-165.57138697276346</v>
      </c>
      <c r="I975" s="304">
        <f t="shared" ca="1" si="448"/>
        <v>167.37279727395267</v>
      </c>
      <c r="J975" s="306">
        <f t="shared" ca="1" si="449"/>
        <v>1638.9749615397848</v>
      </c>
      <c r="K975" s="307">
        <f t="shared" ca="1" si="450"/>
        <v>-2.2859234078119086</v>
      </c>
      <c r="L975" s="304">
        <f t="shared" ca="1" si="435"/>
        <v>1638.9765556590996</v>
      </c>
      <c r="M975" s="306">
        <f t="shared" ca="1" si="451"/>
        <v>-1.4239479422165029</v>
      </c>
      <c r="N975" s="304">
        <f t="shared" ca="1" si="452"/>
        <v>-81.586207335344042</v>
      </c>
      <c r="P975" s="310">
        <f t="shared" ca="1" si="453"/>
        <v>23</v>
      </c>
      <c r="Q975" s="304">
        <f t="shared" ca="1" si="454"/>
        <v>0</v>
      </c>
      <c r="R975" s="306">
        <f t="shared" ca="1" si="455"/>
        <v>0</v>
      </c>
      <c r="S975" s="307">
        <f t="shared" ca="1" si="456"/>
        <v>12.409999999999973</v>
      </c>
      <c r="T975" s="304">
        <f t="shared" ca="1" si="436"/>
        <v>121.74209999999975</v>
      </c>
      <c r="U975" s="311">
        <f t="shared" ca="1" si="437"/>
        <v>0</v>
      </c>
      <c r="V975" s="306">
        <f t="shared" ca="1" si="438"/>
        <v>1.2252800576269716</v>
      </c>
      <c r="W975" s="304">
        <f t="shared" ca="1" si="439"/>
        <v>78.379999568464598</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3.3885768647091385</v>
      </c>
      <c r="AH975" s="304">
        <f t="shared" ca="1" si="463"/>
        <v>-6.3158382291133535</v>
      </c>
    </row>
    <row r="976" spans="1:34" x14ac:dyDescent="0.25">
      <c r="A976" s="347">
        <f t="shared" ca="1" si="441"/>
        <v>1E-4</v>
      </c>
      <c r="B976" s="304">
        <f t="shared" ca="1" si="442"/>
        <v>43.908300000000565</v>
      </c>
      <c r="D976" s="306">
        <f t="shared" ca="1" si="443"/>
        <v>-0.92414610686372645</v>
      </c>
      <c r="E976" s="307">
        <f t="shared" ca="1" si="444"/>
        <v>-3.5621026222258383</v>
      </c>
      <c r="F976" s="304">
        <f t="shared" ca="1" si="445"/>
        <v>3.6800300430974167</v>
      </c>
      <c r="G976" s="306">
        <f t="shared" ca="1" si="446"/>
        <v>24.49009099064525</v>
      </c>
      <c r="H976" s="307">
        <f t="shared" ca="1" si="447"/>
        <v>-165.57174318302569</v>
      </c>
      <c r="I976" s="304">
        <f t="shared" ca="1" si="448"/>
        <v>167.37313612822069</v>
      </c>
      <c r="J976" s="306">
        <f t="shared" ca="1" si="449"/>
        <v>1638.9749615397848</v>
      </c>
      <c r="K976" s="307">
        <f t="shared" ca="1" si="450"/>
        <v>-2.3024805643196982</v>
      </c>
      <c r="L976" s="304">
        <f t="shared" ca="1" si="435"/>
        <v>1638.9765788354293</v>
      </c>
      <c r="M976" s="306">
        <f t="shared" ca="1" si="451"/>
        <v>-1.4239487998276488</v>
      </c>
      <c r="N976" s="304">
        <f t="shared" ca="1" si="452"/>
        <v>-81.586256472843161</v>
      </c>
      <c r="P976" s="310">
        <f t="shared" ca="1" si="453"/>
        <v>23</v>
      </c>
      <c r="Q976" s="304">
        <f t="shared" ca="1" si="454"/>
        <v>0</v>
      </c>
      <c r="R976" s="306">
        <f t="shared" ca="1" si="455"/>
        <v>0</v>
      </c>
      <c r="S976" s="307">
        <f t="shared" ca="1" si="456"/>
        <v>12.409999999999973</v>
      </c>
      <c r="T976" s="304">
        <f t="shared" ca="1" si="436"/>
        <v>121.74209999999975</v>
      </c>
      <c r="U976" s="311">
        <f t="shared" ca="1" si="437"/>
        <v>0</v>
      </c>
      <c r="V976" s="306">
        <f t="shared" ca="1" si="438"/>
        <v>1.2252820863440452</v>
      </c>
      <c r="W976" s="304">
        <f t="shared" ca="1" si="439"/>
        <v>78.38044671256084</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3.3885420647096183</v>
      </c>
      <c r="AH976" s="304">
        <f t="shared" ca="1" si="463"/>
        <v>-6.3158742601502631</v>
      </c>
    </row>
    <row r="977" spans="1:34" x14ac:dyDescent="0.25">
      <c r="A977" s="347">
        <f t="shared" ca="1" si="441"/>
        <v>1E-4</v>
      </c>
      <c r="B977" s="304">
        <f t="shared" ca="1" si="442"/>
        <v>43.908400000000569</v>
      </c>
      <c r="D977" s="306">
        <f t="shared" ca="1" si="443"/>
        <v>-0.92414602065720353</v>
      </c>
      <c r="E977" s="307">
        <f t="shared" ca="1" si="444"/>
        <v>-3.5620661865112142</v>
      </c>
      <c r="F977" s="304">
        <f t="shared" ca="1" si="445"/>
        <v>3.6799947533363535</v>
      </c>
      <c r="G977" s="306">
        <f t="shared" ca="1" si="446"/>
        <v>24.489998576043185</v>
      </c>
      <c r="H977" s="307">
        <f t="shared" ca="1" si="447"/>
        <v>-165.57209938964434</v>
      </c>
      <c r="I977" s="304">
        <f t="shared" ca="1" si="448"/>
        <v>167.37347497900873</v>
      </c>
      <c r="J977" s="306">
        <f t="shared" ca="1" si="449"/>
        <v>1638.9749615397848</v>
      </c>
      <c r="K977" s="307">
        <f t="shared" ca="1" si="450"/>
        <v>-2.3190377564483318</v>
      </c>
      <c r="L977" s="304">
        <f t="shared" ca="1" si="435"/>
        <v>1638.9766021790717</v>
      </c>
      <c r="M977" s="306">
        <f t="shared" ca="1" si="451"/>
        <v>-1.423949657432086</v>
      </c>
      <c r="N977" s="304">
        <f t="shared" ca="1" si="452"/>
        <v>-81.586305609957904</v>
      </c>
      <c r="P977" s="310">
        <f t="shared" ca="1" si="453"/>
        <v>23</v>
      </c>
      <c r="Q977" s="304">
        <f t="shared" ca="1" si="454"/>
        <v>0</v>
      </c>
      <c r="R977" s="306">
        <f t="shared" ca="1" si="455"/>
        <v>0</v>
      </c>
      <c r="S977" s="307">
        <f t="shared" ca="1" si="456"/>
        <v>12.409999999999973</v>
      </c>
      <c r="T977" s="304">
        <f t="shared" ca="1" si="436"/>
        <v>121.74209999999975</v>
      </c>
      <c r="U977" s="311">
        <f t="shared" ca="1" si="437"/>
        <v>0</v>
      </c>
      <c r="V977" s="306">
        <f t="shared" ca="1" si="438"/>
        <v>1.2252841150688436</v>
      </c>
      <c r="W977" s="304">
        <f t="shared" ca="1" si="439"/>
        <v>78.380893855585342</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3.3885072647796957</v>
      </c>
      <c r="AH977" s="304">
        <f t="shared" ca="1" si="463"/>
        <v>-6.3159102911008063</v>
      </c>
    </row>
    <row r="978" spans="1:34" x14ac:dyDescent="0.25">
      <c r="A978" s="347">
        <f t="shared" ca="1" si="441"/>
        <v>1E-4</v>
      </c>
      <c r="B978" s="304">
        <f t="shared" ca="1" si="442"/>
        <v>43.908500000000572</v>
      </c>
      <c r="D978" s="306">
        <f t="shared" ca="1" si="443"/>
        <v>-0.92414593441814374</v>
      </c>
      <c r="E978" s="307">
        <f t="shared" ca="1" si="444"/>
        <v>-3.5620297508837737</v>
      </c>
      <c r="F978" s="304">
        <f t="shared" ca="1" si="445"/>
        <v>3.6799594636738462</v>
      </c>
      <c r="G978" s="306">
        <f t="shared" ca="1" si="446"/>
        <v>24.489906161449742</v>
      </c>
      <c r="H978" s="307">
        <f t="shared" ca="1" si="447"/>
        <v>-165.57245559261943</v>
      </c>
      <c r="I978" s="304">
        <f t="shared" ca="1" si="448"/>
        <v>167.37381382631679</v>
      </c>
      <c r="J978" s="306">
        <f t="shared" ca="1" si="449"/>
        <v>1638.9749615397848</v>
      </c>
      <c r="K978" s="307">
        <f t="shared" ca="1" si="450"/>
        <v>-2.3355949841974448</v>
      </c>
      <c r="L978" s="304">
        <f t="shared" ca="1" si="435"/>
        <v>1638.9766256900277</v>
      </c>
      <c r="M978" s="306">
        <f t="shared" ca="1" si="451"/>
        <v>-1.4239505150298146</v>
      </c>
      <c r="N978" s="304">
        <f t="shared" ca="1" si="452"/>
        <v>-81.586354746688272</v>
      </c>
      <c r="P978" s="310">
        <f t="shared" ca="1" si="453"/>
        <v>23</v>
      </c>
      <c r="Q978" s="304">
        <f t="shared" ca="1" si="454"/>
        <v>0</v>
      </c>
      <c r="R978" s="306">
        <f t="shared" ca="1" si="455"/>
        <v>0</v>
      </c>
      <c r="S978" s="307">
        <f t="shared" ca="1" si="456"/>
        <v>12.409999999999973</v>
      </c>
      <c r="T978" s="304">
        <f t="shared" ca="1" si="436"/>
        <v>121.74209999999975</v>
      </c>
      <c r="U978" s="311">
        <f t="shared" ca="1" si="437"/>
        <v>0</v>
      </c>
      <c r="V978" s="306">
        <f t="shared" ca="1" si="438"/>
        <v>1.2252861438013656</v>
      </c>
      <c r="W978" s="304">
        <f t="shared" ca="1" si="439"/>
        <v>78.381340997538032</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3.3884724649193689</v>
      </c>
      <c r="AH978" s="304">
        <f t="shared" ca="1" si="463"/>
        <v>-6.3159463219649883</v>
      </c>
    </row>
    <row r="979" spans="1:34" x14ac:dyDescent="0.25">
      <c r="A979" s="347">
        <f t="shared" ca="1" si="441"/>
        <v>1E-4</v>
      </c>
      <c r="B979" s="304">
        <f t="shared" ca="1" si="442"/>
        <v>43.908600000000575</v>
      </c>
      <c r="D979" s="306">
        <f t="shared" ca="1" si="443"/>
        <v>-0.92414584814654765</v>
      </c>
      <c r="E979" s="307">
        <f t="shared" ca="1" si="444"/>
        <v>-3.5619933153435239</v>
      </c>
      <c r="F979" s="304">
        <f t="shared" ca="1" si="445"/>
        <v>3.6799241741099031</v>
      </c>
      <c r="G979" s="306">
        <f t="shared" ca="1" si="446"/>
        <v>24.489813746864929</v>
      </c>
      <c r="H979" s="307">
        <f t="shared" ca="1" si="447"/>
        <v>-165.57281179195095</v>
      </c>
      <c r="I979" s="304">
        <f t="shared" ca="1" si="448"/>
        <v>167.37415267014484</v>
      </c>
      <c r="J979" s="306">
        <f t="shared" ca="1" si="449"/>
        <v>1638.9749615397848</v>
      </c>
      <c r="K979" s="307">
        <f t="shared" ca="1" si="450"/>
        <v>-2.3521522475666732</v>
      </c>
      <c r="L979" s="304">
        <f t="shared" ca="1" si="435"/>
        <v>1638.9766493682987</v>
      </c>
      <c r="M979" s="306">
        <f t="shared" ca="1" si="451"/>
        <v>-1.4239513726208346</v>
      </c>
      <c r="N979" s="304">
        <f t="shared" ca="1" si="452"/>
        <v>-81.586403883034265</v>
      </c>
      <c r="P979" s="310">
        <f t="shared" ca="1" si="453"/>
        <v>23</v>
      </c>
      <c r="Q979" s="304">
        <f t="shared" ca="1" si="454"/>
        <v>0</v>
      </c>
      <c r="R979" s="306">
        <f t="shared" ca="1" si="455"/>
        <v>0</v>
      </c>
      <c r="S979" s="307">
        <f t="shared" ca="1" si="456"/>
        <v>12.409999999999973</v>
      </c>
      <c r="T979" s="304">
        <f t="shared" ca="1" si="436"/>
        <v>121.74209999999975</v>
      </c>
      <c r="U979" s="311">
        <f t="shared" ca="1" si="437"/>
        <v>0</v>
      </c>
      <c r="V979" s="306">
        <f t="shared" ca="1" si="438"/>
        <v>1.2252881725416116</v>
      </c>
      <c r="W979" s="304">
        <f t="shared" ca="1" si="439"/>
        <v>78.381788138418855</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3.3884376651286399</v>
      </c>
      <c r="AH979" s="304">
        <f t="shared" ca="1" si="463"/>
        <v>-6.3159823527428038</v>
      </c>
    </row>
    <row r="980" spans="1:34" x14ac:dyDescent="0.25">
      <c r="A980" s="347">
        <f t="shared" ca="1" si="441"/>
        <v>1E-4</v>
      </c>
      <c r="B980" s="304">
        <f t="shared" ca="1" si="442"/>
        <v>43.908700000000579</v>
      </c>
      <c r="D980" s="306">
        <f t="shared" ca="1" si="443"/>
        <v>-0.92414576184241548</v>
      </c>
      <c r="E980" s="307">
        <f t="shared" ca="1" si="444"/>
        <v>-3.5619568798904666</v>
      </c>
      <c r="F980" s="304">
        <f t="shared" ca="1" si="445"/>
        <v>3.6798888846445252</v>
      </c>
      <c r="G980" s="306">
        <f t="shared" ca="1" si="446"/>
        <v>24.489721332288745</v>
      </c>
      <c r="H980" s="307">
        <f t="shared" ca="1" si="447"/>
        <v>-165.57316798763895</v>
      </c>
      <c r="I980" s="304">
        <f t="shared" ca="1" si="448"/>
        <v>167.37449151049293</v>
      </c>
      <c r="J980" s="306">
        <f t="shared" ca="1" si="449"/>
        <v>1638.9749615397848</v>
      </c>
      <c r="K980" s="307">
        <f t="shared" ca="1" si="450"/>
        <v>-2.3687095465556527</v>
      </c>
      <c r="L980" s="304">
        <f t="shared" ca="1" si="435"/>
        <v>1638.9766732138853</v>
      </c>
      <c r="M980" s="306">
        <f t="shared" ca="1" si="451"/>
        <v>-1.4239522302051462</v>
      </c>
      <c r="N980" s="304">
        <f t="shared" ca="1" si="452"/>
        <v>-81.586453018995897</v>
      </c>
      <c r="P980" s="310">
        <f t="shared" ca="1" si="453"/>
        <v>23</v>
      </c>
      <c r="Q980" s="304">
        <f t="shared" ca="1" si="454"/>
        <v>0</v>
      </c>
      <c r="R980" s="306">
        <f t="shared" ca="1" si="455"/>
        <v>0</v>
      </c>
      <c r="S980" s="307">
        <f t="shared" ca="1" si="456"/>
        <v>12.409999999999973</v>
      </c>
      <c r="T980" s="304">
        <f t="shared" ca="1" si="436"/>
        <v>121.74209999999975</v>
      </c>
      <c r="U980" s="311">
        <f t="shared" ca="1" si="437"/>
        <v>0</v>
      </c>
      <c r="V980" s="306">
        <f t="shared" ca="1" si="438"/>
        <v>1.2252902012895812</v>
      </c>
      <c r="W980" s="304">
        <f t="shared" ca="1" si="439"/>
        <v>78.382235278227839</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3.3884028654075165</v>
      </c>
      <c r="AH980" s="304">
        <f t="shared" ca="1" si="463"/>
        <v>-6.3160183834342485</v>
      </c>
    </row>
    <row r="981" spans="1:34" x14ac:dyDescent="0.25">
      <c r="A981" s="347">
        <f t="shared" ca="1" si="441"/>
        <v>1E-4</v>
      </c>
      <c r="B981" s="304">
        <f t="shared" ca="1" si="442"/>
        <v>43.908800000000582</v>
      </c>
      <c r="D981" s="306">
        <f t="shared" ca="1" si="443"/>
        <v>-0.92414567550574689</v>
      </c>
      <c r="E981" s="307">
        <f t="shared" ca="1" si="444"/>
        <v>-3.5619204445246018</v>
      </c>
      <c r="F981" s="304">
        <f t="shared" ca="1" si="445"/>
        <v>3.6798535952777129</v>
      </c>
      <c r="G981" s="306">
        <f t="shared" ca="1" si="446"/>
        <v>24.489628917721195</v>
      </c>
      <c r="H981" s="307">
        <f t="shared" ca="1" si="447"/>
        <v>-165.5735241796834</v>
      </c>
      <c r="I981" s="304">
        <f t="shared" ca="1" si="448"/>
        <v>167.37483034736104</v>
      </c>
      <c r="J981" s="306">
        <f t="shared" ca="1" si="449"/>
        <v>1638.9749615397848</v>
      </c>
      <c r="K981" s="307">
        <f t="shared" ca="1" si="450"/>
        <v>-2.3852668811640187</v>
      </c>
      <c r="L981" s="304">
        <f t="shared" ca="1" si="435"/>
        <v>1638.9766972267889</v>
      </c>
      <c r="M981" s="306">
        <f t="shared" ca="1" si="451"/>
        <v>-1.4239530877827493</v>
      </c>
      <c r="N981" s="304">
        <f t="shared" ca="1" si="452"/>
        <v>-81.586502154573168</v>
      </c>
      <c r="P981" s="310">
        <f t="shared" ca="1" si="453"/>
        <v>23</v>
      </c>
      <c r="Q981" s="304">
        <f t="shared" ca="1" si="454"/>
        <v>0</v>
      </c>
      <c r="R981" s="306">
        <f t="shared" ca="1" si="455"/>
        <v>0</v>
      </c>
      <c r="S981" s="307">
        <f t="shared" ca="1" si="456"/>
        <v>12.409999999999973</v>
      </c>
      <c r="T981" s="304">
        <f t="shared" ca="1" si="436"/>
        <v>121.74209999999975</v>
      </c>
      <c r="U981" s="311">
        <f t="shared" ca="1" si="437"/>
        <v>0</v>
      </c>
      <c r="V981" s="306">
        <f t="shared" ca="1" si="438"/>
        <v>1.2252922300452751</v>
      </c>
      <c r="W981" s="304">
        <f t="shared" ca="1" si="439"/>
        <v>78.382682416964968</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3.3883680657559951</v>
      </c>
      <c r="AH981" s="304">
        <f t="shared" ca="1" si="463"/>
        <v>-6.316054414039324</v>
      </c>
    </row>
    <row r="982" spans="1:34" x14ac:dyDescent="0.25">
      <c r="A982" s="347">
        <f t="shared" ca="1" si="441"/>
        <v>1E-4</v>
      </c>
      <c r="B982" s="304">
        <f t="shared" ca="1" si="442"/>
        <v>43.908900000000585</v>
      </c>
      <c r="D982" s="306">
        <f t="shared" ca="1" si="443"/>
        <v>-0.92414558913654254</v>
      </c>
      <c r="E982" s="307">
        <f t="shared" ca="1" si="444"/>
        <v>-3.5618840092459312</v>
      </c>
      <c r="F982" s="304">
        <f t="shared" ca="1" si="445"/>
        <v>3.6798183060094689</v>
      </c>
      <c r="G982" s="306">
        <f t="shared" ca="1" si="446"/>
        <v>24.489536503162281</v>
      </c>
      <c r="H982" s="307">
        <f t="shared" ca="1" si="447"/>
        <v>-165.57388036808433</v>
      </c>
      <c r="I982" s="304">
        <f t="shared" ca="1" si="448"/>
        <v>167.37516918074923</v>
      </c>
      <c r="J982" s="306">
        <f t="shared" ca="1" si="449"/>
        <v>1638.9749615397848</v>
      </c>
      <c r="K982" s="307">
        <f t="shared" ca="1" si="450"/>
        <v>-2.4018242513914072</v>
      </c>
      <c r="L982" s="304">
        <f t="shared" ca="1" si="435"/>
        <v>1638.9767214070107</v>
      </c>
      <c r="M982" s="306">
        <f t="shared" ca="1" si="451"/>
        <v>-1.4239539453536441</v>
      </c>
      <c r="N982" s="304">
        <f t="shared" ca="1" si="452"/>
        <v>-81.586551289766064</v>
      </c>
      <c r="P982" s="310">
        <f t="shared" ca="1" si="453"/>
        <v>23</v>
      </c>
      <c r="Q982" s="304">
        <f t="shared" ca="1" si="454"/>
        <v>0</v>
      </c>
      <c r="R982" s="306">
        <f t="shared" ca="1" si="455"/>
        <v>0</v>
      </c>
      <c r="S982" s="307">
        <f t="shared" ca="1" si="456"/>
        <v>12.409999999999973</v>
      </c>
      <c r="T982" s="304">
        <f t="shared" ca="1" si="436"/>
        <v>121.74209999999975</v>
      </c>
      <c r="U982" s="311">
        <f t="shared" ca="1" si="437"/>
        <v>0</v>
      </c>
      <c r="V982" s="306">
        <f t="shared" ca="1" si="438"/>
        <v>1.2252942588086928</v>
      </c>
      <c r="W982" s="304">
        <f t="shared" ca="1" si="439"/>
        <v>78.383129554630216</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3.3883332661740795</v>
      </c>
      <c r="AH982" s="304">
        <f t="shared" ca="1" si="463"/>
        <v>-6.3160904445580286</v>
      </c>
    </row>
    <row r="983" spans="1:34" x14ac:dyDescent="0.25">
      <c r="A983" s="347">
        <f t="shared" ca="1" si="441"/>
        <v>1E-4</v>
      </c>
      <c r="B983" s="304">
        <f t="shared" ca="1" si="442"/>
        <v>43.909000000000589</v>
      </c>
      <c r="D983" s="306">
        <f t="shared" ca="1" si="443"/>
        <v>-0.92414550273480356</v>
      </c>
      <c r="E983" s="307">
        <f t="shared" ca="1" si="444"/>
        <v>-3.5618475740544548</v>
      </c>
      <c r="F983" s="304">
        <f t="shared" ca="1" si="445"/>
        <v>3.6797830168397931</v>
      </c>
      <c r="G983" s="306">
        <f t="shared" ca="1" si="446"/>
        <v>24.489444088612007</v>
      </c>
      <c r="H983" s="307">
        <f t="shared" ca="1" si="447"/>
        <v>-165.57423655284174</v>
      </c>
      <c r="I983" s="304">
        <f t="shared" ca="1" si="448"/>
        <v>167.37550801065743</v>
      </c>
      <c r="J983" s="306">
        <f t="shared" ca="1" si="449"/>
        <v>1638.9749615397848</v>
      </c>
      <c r="K983" s="307">
        <f t="shared" ca="1" si="450"/>
        <v>-2.4183816572374535</v>
      </c>
      <c r="L983" s="304">
        <f t="shared" ca="1" si="435"/>
        <v>1638.9767457545513</v>
      </c>
      <c r="M983" s="306">
        <f t="shared" ca="1" si="451"/>
        <v>-1.4239548029178308</v>
      </c>
      <c r="N983" s="304">
        <f t="shared" ca="1" si="452"/>
        <v>-81.586600424574627</v>
      </c>
      <c r="P983" s="310">
        <f t="shared" ca="1" si="453"/>
        <v>23</v>
      </c>
      <c r="Q983" s="304">
        <f t="shared" ca="1" si="454"/>
        <v>0</v>
      </c>
      <c r="R983" s="306">
        <f t="shared" ca="1" si="455"/>
        <v>0</v>
      </c>
      <c r="S983" s="307">
        <f t="shared" ca="1" si="456"/>
        <v>12.409999999999973</v>
      </c>
      <c r="T983" s="304">
        <f t="shared" ca="1" si="436"/>
        <v>121.74209999999975</v>
      </c>
      <c r="U983" s="311">
        <f t="shared" ca="1" si="437"/>
        <v>0</v>
      </c>
      <c r="V983" s="306">
        <f t="shared" ca="1" si="438"/>
        <v>1.2252962875798339</v>
      </c>
      <c r="W983" s="304">
        <f t="shared" ca="1" si="439"/>
        <v>78.38357669122351</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3.3882984666617686</v>
      </c>
      <c r="AH983" s="304">
        <f t="shared" ca="1" si="463"/>
        <v>-6.3161264749903614</v>
      </c>
    </row>
    <row r="984" spans="1:34" x14ac:dyDescent="0.25">
      <c r="A984" s="347">
        <f t="shared" ca="1" si="441"/>
        <v>1E-4</v>
      </c>
      <c r="B984" s="304">
        <f t="shared" ca="1" si="442"/>
        <v>43.909100000000592</v>
      </c>
      <c r="D984" s="306">
        <f t="shared" ca="1" si="443"/>
        <v>-0.92414541630052671</v>
      </c>
      <c r="E984" s="307">
        <f t="shared" ca="1" si="444"/>
        <v>-3.5618111389501808</v>
      </c>
      <c r="F984" s="304">
        <f t="shared" ca="1" si="445"/>
        <v>3.6797477277686927</v>
      </c>
      <c r="G984" s="306">
        <f t="shared" ca="1" si="446"/>
        <v>24.489351674070377</v>
      </c>
      <c r="H984" s="307">
        <f t="shared" ca="1" si="447"/>
        <v>-165.57459273395563</v>
      </c>
      <c r="I984" s="304">
        <f t="shared" ca="1" si="448"/>
        <v>167.37584683708567</v>
      </c>
      <c r="J984" s="306">
        <f t="shared" ca="1" si="449"/>
        <v>1638.9749615397848</v>
      </c>
      <c r="K984" s="307">
        <f t="shared" ca="1" si="450"/>
        <v>-2.4349390987017934</v>
      </c>
      <c r="L984" s="304">
        <f t="shared" ca="1" si="435"/>
        <v>1638.9767702694121</v>
      </c>
      <c r="M984" s="306">
        <f t="shared" ca="1" si="451"/>
        <v>-1.4239556604753092</v>
      </c>
      <c r="N984" s="304">
        <f t="shared" ca="1" si="452"/>
        <v>-81.586649558998829</v>
      </c>
      <c r="P984" s="310">
        <f t="shared" ca="1" si="453"/>
        <v>23</v>
      </c>
      <c r="Q984" s="304">
        <f t="shared" ca="1" si="454"/>
        <v>0</v>
      </c>
      <c r="R984" s="306">
        <f t="shared" ca="1" si="455"/>
        <v>0</v>
      </c>
      <c r="S984" s="307">
        <f t="shared" ca="1" si="456"/>
        <v>12.409999999999973</v>
      </c>
      <c r="T984" s="304">
        <f t="shared" ca="1" si="436"/>
        <v>121.74209999999975</v>
      </c>
      <c r="U984" s="311">
        <f t="shared" ca="1" si="437"/>
        <v>0</v>
      </c>
      <c r="V984" s="306">
        <f t="shared" ca="1" si="438"/>
        <v>1.2252983163586992</v>
      </c>
      <c r="W984" s="304">
        <f t="shared" ca="1" si="439"/>
        <v>78.384023826744865</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3.3882636672190714</v>
      </c>
      <c r="AH984" s="304">
        <f t="shared" ca="1" si="463"/>
        <v>-6.3161625053363153</v>
      </c>
    </row>
    <row r="985" spans="1:34" x14ac:dyDescent="0.25">
      <c r="A985" s="347">
        <f t="shared" ca="1" si="441"/>
        <v>1E-4</v>
      </c>
      <c r="B985" s="304">
        <f t="shared" ca="1" si="442"/>
        <v>43.909200000000595</v>
      </c>
      <c r="D985" s="306">
        <f t="shared" ca="1" si="443"/>
        <v>-0.92414532983371633</v>
      </c>
      <c r="E985" s="307">
        <f t="shared" ca="1" si="444"/>
        <v>-3.5617747039331062</v>
      </c>
      <c r="F985" s="304">
        <f t="shared" ca="1" si="445"/>
        <v>3.6797124387961673</v>
      </c>
      <c r="G985" s="306">
        <f t="shared" ca="1" si="446"/>
        <v>24.489259259537395</v>
      </c>
      <c r="H985" s="307">
        <f t="shared" ca="1" si="447"/>
        <v>-165.57494891142602</v>
      </c>
      <c r="I985" s="304">
        <f t="shared" ca="1" si="448"/>
        <v>167.37618566003403</v>
      </c>
      <c r="J985" s="306">
        <f t="shared" ca="1" si="449"/>
        <v>1638.9749615397848</v>
      </c>
      <c r="K985" s="307">
        <f t="shared" ca="1" si="450"/>
        <v>-2.4514965757840623</v>
      </c>
      <c r="L985" s="304">
        <f t="shared" ca="1" si="435"/>
        <v>1638.9767949515942</v>
      </c>
      <c r="M985" s="306">
        <f t="shared" ca="1" si="451"/>
        <v>-1.4239565180260796</v>
      </c>
      <c r="N985" s="304">
        <f t="shared" ca="1" si="452"/>
        <v>-81.586698693038684</v>
      </c>
      <c r="P985" s="310">
        <f t="shared" ca="1" si="453"/>
        <v>23</v>
      </c>
      <c r="Q985" s="304">
        <f t="shared" ca="1" si="454"/>
        <v>0</v>
      </c>
      <c r="R985" s="306">
        <f t="shared" ca="1" si="455"/>
        <v>0</v>
      </c>
      <c r="S985" s="307">
        <f t="shared" ca="1" si="456"/>
        <v>12.409999999999973</v>
      </c>
      <c r="T985" s="304">
        <f t="shared" ca="1" si="436"/>
        <v>121.74209999999975</v>
      </c>
      <c r="U985" s="311">
        <f t="shared" ca="1" si="437"/>
        <v>0</v>
      </c>
      <c r="V985" s="306">
        <f t="shared" ca="1" si="438"/>
        <v>1.2253003451452884</v>
      </c>
      <c r="W985" s="304">
        <f t="shared" ca="1" si="439"/>
        <v>78.38447096119431</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3.3882288678459851</v>
      </c>
      <c r="AH985" s="304">
        <f t="shared" ca="1" si="463"/>
        <v>-6.3161985355958929</v>
      </c>
    </row>
    <row r="986" spans="1:34" x14ac:dyDescent="0.25">
      <c r="A986" s="347">
        <f t="shared" ca="1" si="441"/>
        <v>1E-4</v>
      </c>
      <c r="B986" s="304">
        <f t="shared" ca="1" si="442"/>
        <v>43.909300000000599</v>
      </c>
      <c r="D986" s="306">
        <f t="shared" ca="1" si="443"/>
        <v>-0.92414524333437065</v>
      </c>
      <c r="E986" s="307">
        <f t="shared" ca="1" si="444"/>
        <v>-3.5617382690032278</v>
      </c>
      <c r="F986" s="304">
        <f t="shared" ca="1" si="445"/>
        <v>3.6796771499222118</v>
      </c>
      <c r="G986" s="306">
        <f t="shared" ca="1" si="446"/>
        <v>24.489166845013063</v>
      </c>
      <c r="H986" s="307">
        <f t="shared" ca="1" si="447"/>
        <v>-165.57530508525292</v>
      </c>
      <c r="I986" s="304">
        <f t="shared" ca="1" si="448"/>
        <v>167.37652447950239</v>
      </c>
      <c r="J986" s="306">
        <f t="shared" ca="1" si="449"/>
        <v>1638.9749615397848</v>
      </c>
      <c r="K986" s="307">
        <f t="shared" ca="1" si="450"/>
        <v>-2.4680540884838962</v>
      </c>
      <c r="L986" s="304">
        <f t="shared" ca="1" si="435"/>
        <v>1638.9768198010986</v>
      </c>
      <c r="M986" s="306">
        <f t="shared" ca="1" si="451"/>
        <v>-1.423957375570142</v>
      </c>
      <c r="N986" s="304">
        <f t="shared" ca="1" si="452"/>
        <v>-81.586747826694207</v>
      </c>
      <c r="P986" s="310">
        <f t="shared" ca="1" si="453"/>
        <v>23</v>
      </c>
      <c r="Q986" s="304">
        <f t="shared" ca="1" si="454"/>
        <v>0</v>
      </c>
      <c r="R986" s="306">
        <f t="shared" ca="1" si="455"/>
        <v>0</v>
      </c>
      <c r="S986" s="307">
        <f t="shared" ca="1" si="456"/>
        <v>12.409999999999973</v>
      </c>
      <c r="T986" s="304">
        <f t="shared" ca="1" si="436"/>
        <v>121.74209999999975</v>
      </c>
      <c r="U986" s="311">
        <f t="shared" ca="1" si="437"/>
        <v>0</v>
      </c>
      <c r="V986" s="306">
        <f t="shared" ca="1" si="438"/>
        <v>1.2253023739396014</v>
      </c>
      <c r="W986" s="304">
        <f t="shared" ca="1" si="439"/>
        <v>78.384918094571745</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3.3881940685425098</v>
      </c>
      <c r="AH986" s="304">
        <f t="shared" ca="1" si="463"/>
        <v>-6.3162345657690961</v>
      </c>
    </row>
    <row r="987" spans="1:34" x14ac:dyDescent="0.25">
      <c r="A987" s="347">
        <f t="shared" ca="1" si="441"/>
        <v>1E-4</v>
      </c>
      <c r="B987" s="304">
        <f t="shared" ca="1" si="442"/>
        <v>43.909400000000602</v>
      </c>
      <c r="D987" s="306">
        <f t="shared" ca="1" si="443"/>
        <v>-0.92414515680248965</v>
      </c>
      <c r="E987" s="307">
        <f t="shared" ca="1" si="444"/>
        <v>-3.5617018341605577</v>
      </c>
      <c r="F987" s="304">
        <f t="shared" ca="1" si="445"/>
        <v>3.6796418611468402</v>
      </c>
      <c r="G987" s="306">
        <f t="shared" ca="1" si="446"/>
        <v>24.489074430497382</v>
      </c>
      <c r="H987" s="307">
        <f t="shared" ca="1" si="447"/>
        <v>-165.57566125543633</v>
      </c>
      <c r="I987" s="304">
        <f t="shared" ca="1" si="448"/>
        <v>167.37686329549086</v>
      </c>
      <c r="J987" s="306">
        <f t="shared" ca="1" si="449"/>
        <v>1638.9749615397848</v>
      </c>
      <c r="K987" s="307">
        <f t="shared" ca="1" si="450"/>
        <v>-2.4846116368009308</v>
      </c>
      <c r="L987" s="304">
        <f t="shared" ca="1" si="435"/>
        <v>1638.9768448179263</v>
      </c>
      <c r="M987" s="306">
        <f t="shared" ca="1" si="451"/>
        <v>-1.4239582331074965</v>
      </c>
      <c r="N987" s="304">
        <f t="shared" ca="1" si="452"/>
        <v>-81.586796959965397</v>
      </c>
      <c r="P987" s="310">
        <f t="shared" ca="1" si="453"/>
        <v>23</v>
      </c>
      <c r="Q987" s="304">
        <f t="shared" ca="1" si="454"/>
        <v>0</v>
      </c>
      <c r="R987" s="306">
        <f t="shared" ca="1" si="455"/>
        <v>0</v>
      </c>
      <c r="S987" s="307">
        <f t="shared" ca="1" si="456"/>
        <v>12.409999999999973</v>
      </c>
      <c r="T987" s="304">
        <f t="shared" ca="1" si="436"/>
        <v>121.74209999999975</v>
      </c>
      <c r="U987" s="311">
        <f t="shared" ca="1" si="437"/>
        <v>0</v>
      </c>
      <c r="V987" s="306">
        <f t="shared" ca="1" si="438"/>
        <v>1.225304402741638</v>
      </c>
      <c r="W987" s="304">
        <f t="shared" ca="1" si="439"/>
        <v>78.38536522687717</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3.3881592693086509</v>
      </c>
      <c r="AH987" s="304">
        <f t="shared" ca="1" si="463"/>
        <v>-6.316270595855916</v>
      </c>
    </row>
    <row r="988" spans="1:34" x14ac:dyDescent="0.25">
      <c r="A988" s="347">
        <f t="shared" ca="1" si="441"/>
        <v>1E-4</v>
      </c>
      <c r="B988" s="304">
        <f t="shared" ca="1" si="442"/>
        <v>43.909500000000605</v>
      </c>
      <c r="D988" s="306">
        <f t="shared" ca="1" si="443"/>
        <v>-0.92414507023807402</v>
      </c>
      <c r="E988" s="307">
        <f t="shared" ca="1" si="444"/>
        <v>-3.5616653994050926</v>
      </c>
      <c r="F988" s="304">
        <f t="shared" ca="1" si="445"/>
        <v>3.679606572470048</v>
      </c>
      <c r="G988" s="306">
        <f t="shared" ca="1" si="446"/>
        <v>24.488982015990359</v>
      </c>
      <c r="H988" s="307">
        <f t="shared" ca="1" si="447"/>
        <v>-165.57601742197627</v>
      </c>
      <c r="I988" s="304">
        <f t="shared" ca="1" si="448"/>
        <v>167.37720210799944</v>
      </c>
      <c r="J988" s="306">
        <f t="shared" ca="1" si="449"/>
        <v>1638.9749615397848</v>
      </c>
      <c r="K988" s="307">
        <f t="shared" ca="1" si="450"/>
        <v>-2.5011692207348015</v>
      </c>
      <c r="L988" s="304">
        <f t="shared" ca="1" si="435"/>
        <v>1638.9768700020784</v>
      </c>
      <c r="M988" s="306">
        <f t="shared" ca="1" si="451"/>
        <v>-1.4239590906381432</v>
      </c>
      <c r="N988" s="304">
        <f t="shared" ca="1" si="452"/>
        <v>-81.586846092852255</v>
      </c>
      <c r="P988" s="310">
        <f t="shared" ca="1" si="453"/>
        <v>23</v>
      </c>
      <c r="Q988" s="304">
        <f t="shared" ca="1" si="454"/>
        <v>0</v>
      </c>
      <c r="R988" s="306">
        <f t="shared" ca="1" si="455"/>
        <v>0</v>
      </c>
      <c r="S988" s="307">
        <f t="shared" ca="1" si="456"/>
        <v>12.409999999999973</v>
      </c>
      <c r="T988" s="304">
        <f t="shared" ca="1" si="436"/>
        <v>121.74209999999975</v>
      </c>
      <c r="U988" s="311">
        <f t="shared" ca="1" si="437"/>
        <v>0</v>
      </c>
      <c r="V988" s="306">
        <f t="shared" ca="1" si="438"/>
        <v>1.2253064315513982</v>
      </c>
      <c r="W988" s="304">
        <f t="shared" ca="1" si="439"/>
        <v>78.385812358110599</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3.3881244701444118</v>
      </c>
      <c r="AH988" s="304">
        <f t="shared" ca="1" si="463"/>
        <v>-6.3163066258563525</v>
      </c>
    </row>
    <row r="989" spans="1:34" x14ac:dyDescent="0.25">
      <c r="A989" s="347">
        <f t="shared" ca="1" si="441"/>
        <v>1E-4</v>
      </c>
      <c r="B989" s="304">
        <f t="shared" ca="1" si="442"/>
        <v>43.909600000000609</v>
      </c>
      <c r="D989" s="306">
        <f t="shared" ca="1" si="443"/>
        <v>-0.92414498364112374</v>
      </c>
      <c r="E989" s="307">
        <f t="shared" ca="1" si="444"/>
        <v>-3.5616289647368315</v>
      </c>
      <c r="F989" s="304">
        <f t="shared" ca="1" si="445"/>
        <v>3.6795712838918351</v>
      </c>
      <c r="G989" s="306">
        <f t="shared" ca="1" si="446"/>
        <v>24.488889601491994</v>
      </c>
      <c r="H989" s="307">
        <f t="shared" ca="1" si="447"/>
        <v>-165.57637358487275</v>
      </c>
      <c r="I989" s="304">
        <f t="shared" ca="1" si="448"/>
        <v>167.37754091702809</v>
      </c>
      <c r="J989" s="306">
        <f t="shared" ca="1" si="449"/>
        <v>1638.9749615397848</v>
      </c>
      <c r="K989" s="307">
        <f t="shared" ca="1" si="450"/>
        <v>-2.5177268402851438</v>
      </c>
      <c r="L989" s="304">
        <f t="shared" ca="1" si="435"/>
        <v>1638.9768953535561</v>
      </c>
      <c r="M989" s="306">
        <f t="shared" ca="1" si="451"/>
        <v>-1.4239599481620819</v>
      </c>
      <c r="N989" s="304">
        <f t="shared" ca="1" si="452"/>
        <v>-81.58689522535478</v>
      </c>
      <c r="P989" s="310">
        <f t="shared" ca="1" si="453"/>
        <v>23</v>
      </c>
      <c r="Q989" s="304">
        <f t="shared" ca="1" si="454"/>
        <v>0</v>
      </c>
      <c r="R989" s="306">
        <f t="shared" ca="1" si="455"/>
        <v>0</v>
      </c>
      <c r="S989" s="307">
        <f t="shared" ca="1" si="456"/>
        <v>12.409999999999973</v>
      </c>
      <c r="T989" s="304">
        <f t="shared" ca="1" si="436"/>
        <v>121.74209999999975</v>
      </c>
      <c r="U989" s="311">
        <f t="shared" ca="1" si="437"/>
        <v>0</v>
      </c>
      <c r="V989" s="306">
        <f t="shared" ca="1" si="438"/>
        <v>1.2253084603688824</v>
      </c>
      <c r="W989" s="304">
        <f t="shared" ca="1" si="439"/>
        <v>78.386259488271975</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3.3880896710497899</v>
      </c>
      <c r="AH989" s="304">
        <f t="shared" ca="1" si="463"/>
        <v>-6.3163426557704083</v>
      </c>
    </row>
    <row r="990" spans="1:34" x14ac:dyDescent="0.25">
      <c r="A990" s="347">
        <f t="shared" ca="1" si="441"/>
        <v>1E-4</v>
      </c>
      <c r="B990" s="304">
        <f t="shared" ca="1" si="442"/>
        <v>43.909700000000612</v>
      </c>
      <c r="D990" s="306">
        <f t="shared" ca="1" si="443"/>
        <v>-0.92414489701164027</v>
      </c>
      <c r="E990" s="307">
        <f t="shared" ca="1" si="444"/>
        <v>-3.5615925301557816</v>
      </c>
      <c r="F990" s="304">
        <f t="shared" ca="1" si="445"/>
        <v>3.6795359954122091</v>
      </c>
      <c r="G990" s="306">
        <f t="shared" ca="1" si="446"/>
        <v>24.488797187002294</v>
      </c>
      <c r="H990" s="307">
        <f t="shared" ca="1" si="447"/>
        <v>-165.57672974412577</v>
      </c>
      <c r="I990" s="304">
        <f t="shared" ca="1" si="448"/>
        <v>167.37787972257684</v>
      </c>
      <c r="J990" s="306">
        <f t="shared" ca="1" si="449"/>
        <v>1638.9749615397848</v>
      </c>
      <c r="K990" s="307">
        <f t="shared" ca="1" si="450"/>
        <v>-2.534284495451594</v>
      </c>
      <c r="L990" s="304">
        <f t="shared" ca="1" si="435"/>
        <v>1638.9769208723601</v>
      </c>
      <c r="M990" s="306">
        <f t="shared" ca="1" si="451"/>
        <v>-1.4239608056793134</v>
      </c>
      <c r="N990" s="304">
        <f t="shared" ca="1" si="452"/>
        <v>-81.586944357473001</v>
      </c>
      <c r="P990" s="310">
        <f t="shared" ca="1" si="453"/>
        <v>23</v>
      </c>
      <c r="Q990" s="304">
        <f t="shared" ca="1" si="454"/>
        <v>0</v>
      </c>
      <c r="R990" s="306">
        <f t="shared" ca="1" si="455"/>
        <v>0</v>
      </c>
      <c r="S990" s="307">
        <f t="shared" ca="1" si="456"/>
        <v>12.409999999999973</v>
      </c>
      <c r="T990" s="304">
        <f t="shared" ca="1" si="436"/>
        <v>121.74209999999975</v>
      </c>
      <c r="U990" s="311">
        <f t="shared" ca="1" si="437"/>
        <v>0</v>
      </c>
      <c r="V990" s="306">
        <f t="shared" ca="1" si="438"/>
        <v>1.2253104891940902</v>
      </c>
      <c r="W990" s="304">
        <f t="shared" ca="1" si="439"/>
        <v>78.386706617361298</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3.3880548720247896</v>
      </c>
      <c r="AH990" s="304">
        <f t="shared" ca="1" si="463"/>
        <v>-6.3163786855980772</v>
      </c>
    </row>
    <row r="991" spans="1:34" x14ac:dyDescent="0.25">
      <c r="A991" s="347">
        <f t="shared" ca="1" si="441"/>
        <v>1E-4</v>
      </c>
      <c r="B991" s="304">
        <f t="shared" ca="1" si="442"/>
        <v>43.909800000000615</v>
      </c>
      <c r="D991" s="306">
        <f t="shared" ca="1" si="443"/>
        <v>-0.92414481034962059</v>
      </c>
      <c r="E991" s="307">
        <f t="shared" ca="1" si="444"/>
        <v>-3.5615560956619383</v>
      </c>
      <c r="F991" s="304">
        <f t="shared" ca="1" si="445"/>
        <v>3.6795007070311652</v>
      </c>
      <c r="G991" s="306">
        <f t="shared" ca="1" si="446"/>
        <v>24.48870477252126</v>
      </c>
      <c r="H991" s="307">
        <f t="shared" ca="1" si="447"/>
        <v>-165.57708589973535</v>
      </c>
      <c r="I991" s="304">
        <f t="shared" ca="1" si="448"/>
        <v>167.37821852464569</v>
      </c>
      <c r="J991" s="306">
        <f t="shared" ca="1" si="449"/>
        <v>1638.9749615397848</v>
      </c>
      <c r="K991" s="307">
        <f t="shared" ca="1" si="450"/>
        <v>-2.5508421862337869</v>
      </c>
      <c r="L991" s="304">
        <f t="shared" ca="1" si="435"/>
        <v>1638.976946558492</v>
      </c>
      <c r="M991" s="306">
        <f t="shared" ca="1" si="451"/>
        <v>-1.4239616631898371</v>
      </c>
      <c r="N991" s="304">
        <f t="shared" ca="1" si="452"/>
        <v>-81.586993489206904</v>
      </c>
      <c r="P991" s="310">
        <f t="shared" ca="1" si="453"/>
        <v>23</v>
      </c>
      <c r="Q991" s="304">
        <f t="shared" ca="1" si="454"/>
        <v>0</v>
      </c>
      <c r="R991" s="306">
        <f t="shared" ca="1" si="455"/>
        <v>0</v>
      </c>
      <c r="S991" s="307">
        <f t="shared" ca="1" si="456"/>
        <v>12.409999999999973</v>
      </c>
      <c r="T991" s="304">
        <f t="shared" ca="1" si="436"/>
        <v>121.74209999999975</v>
      </c>
      <c r="U991" s="311">
        <f t="shared" ca="1" si="437"/>
        <v>0</v>
      </c>
      <c r="V991" s="306">
        <f t="shared" ca="1" si="438"/>
        <v>1.2253125180270219</v>
      </c>
      <c r="W991" s="304">
        <f t="shared" ca="1" si="439"/>
        <v>78.387153745378555</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3.3880200730694128</v>
      </c>
      <c r="AH991" s="304">
        <f t="shared" ca="1" si="463"/>
        <v>-6.3164147153393611</v>
      </c>
    </row>
    <row r="992" spans="1:34" x14ac:dyDescent="0.25">
      <c r="A992" s="347">
        <f t="shared" ca="1" si="441"/>
        <v>1E-4</v>
      </c>
      <c r="B992" s="304">
        <f t="shared" ca="1" si="442"/>
        <v>43.909900000000619</v>
      </c>
      <c r="D992" s="306">
        <f t="shared" ca="1" si="443"/>
        <v>-0.92414472365506783</v>
      </c>
      <c r="E992" s="307">
        <f t="shared" ca="1" si="444"/>
        <v>-3.5615196612553079</v>
      </c>
      <c r="F992" s="304">
        <f t="shared" ca="1" si="445"/>
        <v>3.6794654187487108</v>
      </c>
      <c r="G992" s="306">
        <f t="shared" ca="1" si="446"/>
        <v>24.488612358048893</v>
      </c>
      <c r="H992" s="307">
        <f t="shared" ca="1" si="447"/>
        <v>-165.57744205170147</v>
      </c>
      <c r="I992" s="304">
        <f t="shared" ca="1" si="448"/>
        <v>167.37855732323462</v>
      </c>
      <c r="J992" s="306">
        <f t="shared" ca="1" si="449"/>
        <v>1638.9749615397848</v>
      </c>
      <c r="K992" s="307">
        <f t="shared" ca="1" si="450"/>
        <v>-2.5673999126313589</v>
      </c>
      <c r="L992" s="304">
        <f t="shared" ca="1" si="435"/>
        <v>1638.9769724119526</v>
      </c>
      <c r="M992" s="306">
        <f t="shared" ca="1" si="451"/>
        <v>-1.4239625206936533</v>
      </c>
      <c r="N992" s="304">
        <f t="shared" ca="1" si="452"/>
        <v>-81.587042620556488</v>
      </c>
      <c r="P992" s="310">
        <f t="shared" ca="1" si="453"/>
        <v>23</v>
      </c>
      <c r="Q992" s="304">
        <f t="shared" ca="1" si="454"/>
        <v>0</v>
      </c>
      <c r="R992" s="306">
        <f t="shared" ca="1" si="455"/>
        <v>0</v>
      </c>
      <c r="S992" s="307">
        <f t="shared" ca="1" si="456"/>
        <v>12.409999999999973</v>
      </c>
      <c r="T992" s="304">
        <f t="shared" ca="1" si="436"/>
        <v>121.74209999999975</v>
      </c>
      <c r="U992" s="311">
        <f t="shared" ca="1" si="437"/>
        <v>0</v>
      </c>
      <c r="V992" s="306">
        <f t="shared" ca="1" si="438"/>
        <v>1.2253145468676774</v>
      </c>
      <c r="W992" s="304">
        <f t="shared" ca="1" si="439"/>
        <v>78.387600872323645</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3.3879852741836611</v>
      </c>
      <c r="AH992" s="304">
        <f t="shared" ca="1" si="463"/>
        <v>-6.3164507449942562</v>
      </c>
    </row>
    <row r="993" spans="1:34" x14ac:dyDescent="0.25">
      <c r="A993" s="347">
        <f t="shared" ca="1" si="441"/>
        <v>1E-4</v>
      </c>
      <c r="B993" s="304">
        <f t="shared" ca="1" si="442"/>
        <v>43.910000000000622</v>
      </c>
      <c r="D993" s="306">
        <f t="shared" ca="1" si="443"/>
        <v>-0.92414463692798099</v>
      </c>
      <c r="E993" s="307">
        <f t="shared" ca="1" si="444"/>
        <v>-3.5614832269358949</v>
      </c>
      <c r="F993" s="304">
        <f t="shared" ca="1" si="445"/>
        <v>3.6794301305648496</v>
      </c>
      <c r="G993" s="306">
        <f t="shared" ca="1" si="446"/>
        <v>24.488519943585199</v>
      </c>
      <c r="H993" s="307">
        <f t="shared" ca="1" si="447"/>
        <v>-165.57779820002415</v>
      </c>
      <c r="I993" s="304">
        <f t="shared" ca="1" si="448"/>
        <v>167.3788961183437</v>
      </c>
      <c r="J993" s="306">
        <f t="shared" ca="1" si="449"/>
        <v>1638.9749615397848</v>
      </c>
      <c r="K993" s="307">
        <f t="shared" ca="1" si="450"/>
        <v>-2.583957674643945</v>
      </c>
      <c r="L993" s="304">
        <f t="shared" ca="1" si="435"/>
        <v>1638.9769984327431</v>
      </c>
      <c r="M993" s="306">
        <f t="shared" ca="1" si="451"/>
        <v>-1.4239633781907621</v>
      </c>
      <c r="N993" s="304">
        <f t="shared" ca="1" si="452"/>
        <v>-81.587091751521768</v>
      </c>
      <c r="P993" s="310">
        <f t="shared" ca="1" si="453"/>
        <v>23</v>
      </c>
      <c r="Q993" s="304">
        <f t="shared" ca="1" si="454"/>
        <v>0</v>
      </c>
      <c r="R993" s="306">
        <f t="shared" ca="1" si="455"/>
        <v>0</v>
      </c>
      <c r="S993" s="307">
        <f t="shared" ca="1" si="456"/>
        <v>12.409999999999973</v>
      </c>
      <c r="T993" s="304">
        <f t="shared" ca="1" si="436"/>
        <v>121.74209999999975</v>
      </c>
      <c r="U993" s="311">
        <f t="shared" ca="1" si="437"/>
        <v>0</v>
      </c>
      <c r="V993" s="306">
        <f t="shared" ca="1" si="438"/>
        <v>1.2253165757160565</v>
      </c>
      <c r="W993" s="304">
        <f t="shared" ca="1" si="439"/>
        <v>78.388047998196654</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3.3879504753675409</v>
      </c>
      <c r="AH993" s="304">
        <f t="shared" ca="1" si="463"/>
        <v>-6.3164867745627564</v>
      </c>
    </row>
    <row r="994" spans="1:34" x14ac:dyDescent="0.25">
      <c r="A994" s="347">
        <f t="shared" ca="1" si="441"/>
        <v>1E-4</v>
      </c>
      <c r="B994" s="304">
        <f t="shared" ca="1" si="442"/>
        <v>43.910100000000625</v>
      </c>
      <c r="D994" s="306">
        <f t="shared" ca="1" si="443"/>
        <v>-0.92414455016836028</v>
      </c>
      <c r="E994" s="307">
        <f t="shared" ca="1" si="444"/>
        <v>-3.561446792703693</v>
      </c>
      <c r="F994" s="304">
        <f t="shared" ca="1" si="445"/>
        <v>3.6793948424795757</v>
      </c>
      <c r="G994" s="306">
        <f t="shared" ca="1" si="446"/>
        <v>24.488427529130181</v>
      </c>
      <c r="H994" s="307">
        <f t="shared" ca="1" si="447"/>
        <v>-165.57815434470342</v>
      </c>
      <c r="I994" s="304">
        <f t="shared" ca="1" si="448"/>
        <v>167.37923490997289</v>
      </c>
      <c r="J994" s="306">
        <f t="shared" ca="1" si="449"/>
        <v>1638.9749615397848</v>
      </c>
      <c r="K994" s="307">
        <f t="shared" ca="1" si="450"/>
        <v>-2.6005154722711814</v>
      </c>
      <c r="L994" s="304">
        <f t="shared" ca="1" si="435"/>
        <v>1638.9770246208641</v>
      </c>
      <c r="M994" s="306">
        <f t="shared" ca="1" si="451"/>
        <v>-1.4239642356811637</v>
      </c>
      <c r="N994" s="304">
        <f t="shared" ca="1" si="452"/>
        <v>-81.587140882102744</v>
      </c>
      <c r="P994" s="310">
        <f t="shared" ca="1" si="453"/>
        <v>23</v>
      </c>
      <c r="Q994" s="304">
        <f t="shared" ca="1" si="454"/>
        <v>0</v>
      </c>
      <c r="R994" s="306">
        <f t="shared" ca="1" si="455"/>
        <v>0</v>
      </c>
      <c r="S994" s="307">
        <f t="shared" ca="1" si="456"/>
        <v>12.409999999999973</v>
      </c>
      <c r="T994" s="304">
        <f t="shared" ca="1" si="436"/>
        <v>121.74209999999975</v>
      </c>
      <c r="U994" s="311">
        <f t="shared" ca="1" si="437"/>
        <v>0</v>
      </c>
      <c r="V994" s="306">
        <f t="shared" ca="1" si="438"/>
        <v>1.2253186045721591</v>
      </c>
      <c r="W994" s="304">
        <f t="shared" ca="1" si="439"/>
        <v>78.388495122997497</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3.387915676621045</v>
      </c>
      <c r="AH994" s="304">
        <f t="shared" ca="1" si="463"/>
        <v>-6.3165228040448689</v>
      </c>
    </row>
    <row r="995" spans="1:34" x14ac:dyDescent="0.25">
      <c r="A995" s="347">
        <f t="shared" ca="1" si="441"/>
        <v>1E-4</v>
      </c>
      <c r="B995" s="304">
        <f t="shared" ca="1" si="442"/>
        <v>43.910200000000629</v>
      </c>
      <c r="D995" s="306">
        <f t="shared" ca="1" si="443"/>
        <v>-0.92414446337620559</v>
      </c>
      <c r="E995" s="307">
        <f t="shared" ca="1" si="444"/>
        <v>-3.5614103585587102</v>
      </c>
      <c r="F995" s="304">
        <f t="shared" ca="1" si="445"/>
        <v>3.6793595544928976</v>
      </c>
      <c r="G995" s="306">
        <f t="shared" ca="1" si="446"/>
        <v>24.488335114683842</v>
      </c>
      <c r="H995" s="307">
        <f t="shared" ca="1" si="447"/>
        <v>-165.57851048573929</v>
      </c>
      <c r="I995" s="304">
        <f t="shared" ca="1" si="448"/>
        <v>167.37957369812224</v>
      </c>
      <c r="J995" s="306">
        <f t="shared" ca="1" si="449"/>
        <v>1638.9749615397848</v>
      </c>
      <c r="K995" s="307">
        <f t="shared" ca="1" si="450"/>
        <v>-2.6170733055127036</v>
      </c>
      <c r="L995" s="304">
        <f t="shared" ca="1" si="435"/>
        <v>1638.9770509763173</v>
      </c>
      <c r="M995" s="306">
        <f t="shared" ca="1" si="451"/>
        <v>-1.423965093164858</v>
      </c>
      <c r="N995" s="304">
        <f t="shared" ca="1" si="452"/>
        <v>-81.58719001229943</v>
      </c>
      <c r="P995" s="310">
        <f t="shared" ca="1" si="453"/>
        <v>23</v>
      </c>
      <c r="Q995" s="304">
        <f t="shared" ca="1" si="454"/>
        <v>0</v>
      </c>
      <c r="R995" s="306">
        <f t="shared" ca="1" si="455"/>
        <v>0</v>
      </c>
      <c r="S995" s="307">
        <f t="shared" ca="1" si="456"/>
        <v>12.409999999999973</v>
      </c>
      <c r="T995" s="304">
        <f t="shared" ca="1" si="436"/>
        <v>121.74209999999975</v>
      </c>
      <c r="U995" s="311">
        <f t="shared" ca="1" si="437"/>
        <v>0</v>
      </c>
      <c r="V995" s="306">
        <f t="shared" ca="1" si="438"/>
        <v>1.2253206334359856</v>
      </c>
      <c r="W995" s="304">
        <f t="shared" ca="1" si="439"/>
        <v>78.388942246726216</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3.3878808779441831</v>
      </c>
      <c r="AH995" s="304">
        <f t="shared" ca="1" si="463"/>
        <v>-6.3165588334405856</v>
      </c>
    </row>
    <row r="996" spans="1:34" x14ac:dyDescent="0.25">
      <c r="A996" s="347">
        <f t="shared" ca="1" si="441"/>
        <v>1E-4</v>
      </c>
      <c r="B996" s="304">
        <f t="shared" ca="1" si="442"/>
        <v>43.910300000000632</v>
      </c>
      <c r="D996" s="306">
        <f t="shared" ca="1" si="443"/>
        <v>-0.9241443765515186</v>
      </c>
      <c r="E996" s="307">
        <f t="shared" ca="1" si="444"/>
        <v>-3.5613739245009421</v>
      </c>
      <c r="F996" s="304">
        <f t="shared" ca="1" si="445"/>
        <v>3.6793242666048123</v>
      </c>
      <c r="G996" s="306">
        <f t="shared" ca="1" si="446"/>
        <v>24.488242700246186</v>
      </c>
      <c r="H996" s="307">
        <f t="shared" ca="1" si="447"/>
        <v>-165.57886662313174</v>
      </c>
      <c r="I996" s="304">
        <f t="shared" ca="1" si="448"/>
        <v>167.37991248279172</v>
      </c>
      <c r="J996" s="306">
        <f t="shared" ca="1" si="449"/>
        <v>1638.9749615397848</v>
      </c>
      <c r="K996" s="307">
        <f t="shared" ca="1" si="450"/>
        <v>-2.6336311743681473</v>
      </c>
      <c r="L996" s="304">
        <f t="shared" ca="1" si="435"/>
        <v>1638.9770774991034</v>
      </c>
      <c r="M996" s="306">
        <f t="shared" ca="1" si="451"/>
        <v>-1.4239659506418452</v>
      </c>
      <c r="N996" s="304">
        <f t="shared" ca="1" si="452"/>
        <v>-81.587239142111827</v>
      </c>
      <c r="P996" s="310">
        <f t="shared" ca="1" si="453"/>
        <v>23</v>
      </c>
      <c r="Q996" s="304">
        <f t="shared" ca="1" si="454"/>
        <v>0</v>
      </c>
      <c r="R996" s="306">
        <f t="shared" ca="1" si="455"/>
        <v>0</v>
      </c>
      <c r="S996" s="307">
        <f t="shared" ca="1" si="456"/>
        <v>12.409999999999973</v>
      </c>
      <c r="T996" s="304">
        <f t="shared" ca="1" si="436"/>
        <v>121.74209999999975</v>
      </c>
      <c r="U996" s="311">
        <f t="shared" ca="1" si="437"/>
        <v>0</v>
      </c>
      <c r="V996" s="306">
        <f t="shared" ca="1" si="438"/>
        <v>1.2253226623075359</v>
      </c>
      <c r="W996" s="304">
        <f t="shared" ca="1" si="439"/>
        <v>78.389389369382741</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3.3878460793369518</v>
      </c>
      <c r="AH996" s="304">
        <f t="shared" ca="1" si="463"/>
        <v>-6.31659486274991</v>
      </c>
    </row>
    <row r="997" spans="1:34" x14ac:dyDescent="0.25">
      <c r="A997" s="347">
        <f t="shared" ca="1" si="441"/>
        <v>1E-4</v>
      </c>
      <c r="B997" s="304">
        <f t="shared" ca="1" si="442"/>
        <v>43.910400000000635</v>
      </c>
      <c r="D997" s="306">
        <f t="shared" ca="1" si="443"/>
        <v>-0.92414428969429785</v>
      </c>
      <c r="E997" s="307">
        <f t="shared" ca="1" si="444"/>
        <v>-3.5613374905303958</v>
      </c>
      <c r="F997" s="304">
        <f t="shared" ca="1" si="445"/>
        <v>3.6792889788153249</v>
      </c>
      <c r="G997" s="306">
        <f t="shared" ca="1" si="446"/>
        <v>24.488150285817216</v>
      </c>
      <c r="H997" s="307">
        <f t="shared" ca="1" si="447"/>
        <v>-165.5792227568808</v>
      </c>
      <c r="I997" s="304">
        <f t="shared" ca="1" si="448"/>
        <v>167.38025126398134</v>
      </c>
      <c r="J997" s="306">
        <f t="shared" ca="1" si="449"/>
        <v>1638.9749615397848</v>
      </c>
      <c r="K997" s="307">
        <f t="shared" ca="1" si="450"/>
        <v>-2.650189078837148</v>
      </c>
      <c r="L997" s="304">
        <f t="shared" ca="1" si="435"/>
        <v>1638.9771041892236</v>
      </c>
      <c r="M997" s="306">
        <f t="shared" ca="1" si="451"/>
        <v>-1.4239668081121251</v>
      </c>
      <c r="N997" s="304">
        <f t="shared" ca="1" si="452"/>
        <v>-81.587288271539919</v>
      </c>
      <c r="P997" s="310">
        <f t="shared" ca="1" si="453"/>
        <v>23</v>
      </c>
      <c r="Q997" s="304">
        <f t="shared" ca="1" si="454"/>
        <v>0</v>
      </c>
      <c r="R997" s="306">
        <f t="shared" ca="1" si="455"/>
        <v>0</v>
      </c>
      <c r="S997" s="307">
        <f t="shared" ca="1" si="456"/>
        <v>12.409999999999973</v>
      </c>
      <c r="T997" s="304">
        <f t="shared" ca="1" si="436"/>
        <v>121.74209999999975</v>
      </c>
      <c r="U997" s="311">
        <f t="shared" ca="1" si="437"/>
        <v>0</v>
      </c>
      <c r="V997" s="306">
        <f t="shared" ca="1" si="438"/>
        <v>1.2253246911868096</v>
      </c>
      <c r="W997" s="304">
        <f t="shared" ca="1" si="439"/>
        <v>78.389836490967014</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3.3878112807993563</v>
      </c>
      <c r="AH997" s="304">
        <f t="shared" ca="1" si="463"/>
        <v>-6.3166308919728369</v>
      </c>
    </row>
    <row r="998" spans="1:34" x14ac:dyDescent="0.25">
      <c r="A998" s="347">
        <f t="shared" ca="1" si="441"/>
        <v>1E-4</v>
      </c>
      <c r="B998" s="304">
        <f t="shared" ca="1" si="442"/>
        <v>43.910500000000638</v>
      </c>
      <c r="D998" s="306">
        <f t="shared" ca="1" si="443"/>
        <v>-0.92414420280454501</v>
      </c>
      <c r="E998" s="307">
        <f t="shared" ca="1" si="444"/>
        <v>-3.561301056647074</v>
      </c>
      <c r="F998" s="304">
        <f t="shared" ca="1" si="445"/>
        <v>3.6792536911244396</v>
      </c>
      <c r="G998" s="306">
        <f t="shared" ca="1" si="446"/>
        <v>24.488057871396936</v>
      </c>
      <c r="H998" s="307">
        <f t="shared" ca="1" si="447"/>
        <v>-165.57957888698647</v>
      </c>
      <c r="I998" s="304">
        <f t="shared" ca="1" si="448"/>
        <v>167.38059004169111</v>
      </c>
      <c r="J998" s="306">
        <f t="shared" ca="1" si="449"/>
        <v>1638.9749615397848</v>
      </c>
      <c r="K998" s="307">
        <f t="shared" ca="1" si="450"/>
        <v>-2.6667470189193416</v>
      </c>
      <c r="L998" s="304">
        <f t="shared" ca="1" si="435"/>
        <v>1638.9771310466788</v>
      </c>
      <c r="M998" s="306">
        <f t="shared" ca="1" si="451"/>
        <v>-1.4239676655756983</v>
      </c>
      <c r="N998" s="304">
        <f t="shared" ca="1" si="452"/>
        <v>-81.587337400583749</v>
      </c>
      <c r="P998" s="310">
        <f t="shared" ca="1" si="453"/>
        <v>23</v>
      </c>
      <c r="Q998" s="304">
        <f t="shared" ca="1" si="454"/>
        <v>0</v>
      </c>
      <c r="R998" s="306">
        <f t="shared" ca="1" si="455"/>
        <v>0</v>
      </c>
      <c r="S998" s="307">
        <f t="shared" ca="1" si="456"/>
        <v>12.409999999999973</v>
      </c>
      <c r="T998" s="304">
        <f t="shared" ca="1" si="436"/>
        <v>121.74209999999975</v>
      </c>
      <c r="U998" s="311">
        <f t="shared" ca="1" si="437"/>
        <v>0</v>
      </c>
      <c r="V998" s="306">
        <f t="shared" ca="1" si="438"/>
        <v>1.2253267200738069</v>
      </c>
      <c r="W998" s="304">
        <f t="shared" ca="1" si="439"/>
        <v>78.390283611479063</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3.3877764823313994</v>
      </c>
      <c r="AH998" s="304">
        <f t="shared" ca="1" si="463"/>
        <v>-6.3166669211093618</v>
      </c>
    </row>
    <row r="999" spans="1:34" x14ac:dyDescent="0.25">
      <c r="A999" s="347">
        <f t="shared" ca="1" si="441"/>
        <v>1E-4</v>
      </c>
      <c r="B999" s="304">
        <f t="shared" ca="1" si="442"/>
        <v>43.910600000000642</v>
      </c>
      <c r="D999" s="306">
        <f t="shared" ca="1" si="443"/>
        <v>-0.92414411588225731</v>
      </c>
      <c r="E999" s="307">
        <f t="shared" ca="1" si="444"/>
        <v>-3.5612646228509766</v>
      </c>
      <c r="F999" s="304">
        <f t="shared" ca="1" si="445"/>
        <v>3.6792184035321562</v>
      </c>
      <c r="G999" s="306">
        <f t="shared" ca="1" si="446"/>
        <v>24.487965456985346</v>
      </c>
      <c r="H999" s="307">
        <f t="shared" ca="1" si="447"/>
        <v>-165.57993501344876</v>
      </c>
      <c r="I999" s="304">
        <f t="shared" ca="1" si="448"/>
        <v>167.38092881592104</v>
      </c>
      <c r="J999" s="306">
        <f t="shared" ca="1" si="449"/>
        <v>1638.9749615397848</v>
      </c>
      <c r="K999" s="307">
        <f t="shared" ca="1" si="450"/>
        <v>-2.6833049946143634</v>
      </c>
      <c r="L999" s="304">
        <f t="shared" ca="1" si="435"/>
        <v>1638.9771580714703</v>
      </c>
      <c r="M999" s="306">
        <f t="shared" ca="1" si="451"/>
        <v>-1.4239685230325645</v>
      </c>
      <c r="N999" s="304">
        <f t="shared" ca="1" si="452"/>
        <v>-81.587386529243304</v>
      </c>
      <c r="P999" s="310">
        <f t="shared" ca="1" si="453"/>
        <v>23</v>
      </c>
      <c r="Q999" s="304">
        <f t="shared" ca="1" si="454"/>
        <v>0</v>
      </c>
      <c r="R999" s="306">
        <f t="shared" ca="1" si="455"/>
        <v>0</v>
      </c>
      <c r="S999" s="307">
        <f t="shared" ca="1" si="456"/>
        <v>12.409999999999973</v>
      </c>
      <c r="T999" s="304">
        <f t="shared" ca="1" si="436"/>
        <v>121.74209999999975</v>
      </c>
      <c r="U999" s="311">
        <f t="shared" ca="1" si="437"/>
        <v>0</v>
      </c>
      <c r="V999" s="306">
        <f t="shared" ca="1" si="438"/>
        <v>1.2253287489685278</v>
      </c>
      <c r="W999" s="304">
        <f t="shared" ca="1" si="439"/>
        <v>78.390730730918875</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3.3877416839330827</v>
      </c>
      <c r="AH999" s="304">
        <f t="shared" ca="1" si="463"/>
        <v>-6.3167029501594865</v>
      </c>
    </row>
    <row r="1000" spans="1:34" x14ac:dyDescent="0.25">
      <c r="A1000" s="347">
        <f t="shared" ca="1" si="441"/>
        <v>1E-4</v>
      </c>
      <c r="B1000" s="304">
        <f t="shared" ca="1" si="442"/>
        <v>43.910700000000645</v>
      </c>
      <c r="D1000" s="306">
        <f t="shared" ca="1" si="443"/>
        <v>-0.9241440289274383</v>
      </c>
      <c r="E1000" s="307">
        <f t="shared" ca="1" si="444"/>
        <v>-3.5612281891421018</v>
      </c>
      <c r="F1000" s="304">
        <f t="shared" ca="1" si="445"/>
        <v>3.6791831160384731</v>
      </c>
      <c r="G1000" s="306">
        <f t="shared" ca="1" si="446"/>
        <v>24.487873042582454</v>
      </c>
      <c r="H1000" s="307">
        <f t="shared" ca="1" si="447"/>
        <v>-165.58029113626768</v>
      </c>
      <c r="I1000" s="304">
        <f t="shared" ca="1" si="448"/>
        <v>167.38126758667113</v>
      </c>
      <c r="J1000" s="306">
        <f t="shared" ca="1" si="449"/>
        <v>1638.9749615397848</v>
      </c>
      <c r="K1000" s="307">
        <f t="shared" ca="1" si="450"/>
        <v>-2.6998630059218494</v>
      </c>
      <c r="L1000" s="304">
        <f t="shared" ca="1" si="435"/>
        <v>1638.977185263599</v>
      </c>
      <c r="M1000" s="306">
        <f t="shared" ca="1" si="451"/>
        <v>-1.4239693804827238</v>
      </c>
      <c r="N1000" s="304">
        <f t="shared" ca="1" si="452"/>
        <v>-81.587435657518569</v>
      </c>
      <c r="P1000" s="310">
        <f t="shared" ca="1" si="453"/>
        <v>23</v>
      </c>
      <c r="Q1000" s="304">
        <f t="shared" ca="1" si="454"/>
        <v>0</v>
      </c>
      <c r="R1000" s="306">
        <f t="shared" ca="1" si="455"/>
        <v>0</v>
      </c>
      <c r="S1000" s="307">
        <f t="shared" ca="1" si="456"/>
        <v>12.409999999999973</v>
      </c>
      <c r="T1000" s="304">
        <f t="shared" ca="1" si="436"/>
        <v>121.74209999999975</v>
      </c>
      <c r="U1000" s="311">
        <f t="shared" ca="1" si="437"/>
        <v>0</v>
      </c>
      <c r="V1000" s="306">
        <f t="shared" ca="1" si="438"/>
        <v>1.2253307778709723</v>
      </c>
      <c r="W1000" s="304">
        <f t="shared" ca="1" si="439"/>
        <v>78.391177849286379</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3.3877068856044064</v>
      </c>
      <c r="AH1000" s="304">
        <f t="shared" ca="1" si="463"/>
        <v>-6.3167389791232109</v>
      </c>
    </row>
    <row r="1001" spans="1:34" x14ac:dyDescent="0.25">
      <c r="A1001" s="347">
        <f t="shared" ca="1" si="441"/>
        <v>1E-4</v>
      </c>
      <c r="B1001" s="304">
        <f t="shared" ca="1" si="442"/>
        <v>43.910800000000648</v>
      </c>
      <c r="D1001" s="306">
        <f t="shared" ca="1" si="443"/>
        <v>-0.92414394194008642</v>
      </c>
      <c r="E1001" s="307">
        <f t="shared" ca="1" si="444"/>
        <v>-3.5611917555204586</v>
      </c>
      <c r="F1001" s="304">
        <f t="shared" ca="1" si="445"/>
        <v>3.6791478286434005</v>
      </c>
      <c r="G1001" s="306">
        <f t="shared" ca="1" si="446"/>
        <v>24.487780628188261</v>
      </c>
      <c r="H1001" s="307">
        <f t="shared" ca="1" si="447"/>
        <v>-165.58064725544324</v>
      </c>
      <c r="I1001" s="304">
        <f t="shared" ca="1" si="448"/>
        <v>167.38160635394141</v>
      </c>
      <c r="J1001" s="306">
        <f t="shared" ca="1" si="449"/>
        <v>1638.9749615397848</v>
      </c>
      <c r="K1001" s="307">
        <f t="shared" ca="1" si="450"/>
        <v>-2.7164210528414348</v>
      </c>
      <c r="L1001" s="304">
        <f t="shared" ca="1" si="435"/>
        <v>1638.9772126230662</v>
      </c>
      <c r="M1001" s="306">
        <f t="shared" ca="1" si="451"/>
        <v>-1.4239702379261765</v>
      </c>
      <c r="N1001" s="304">
        <f t="shared" ca="1" si="452"/>
        <v>-81.587484785409586</v>
      </c>
      <c r="P1001" s="310">
        <f t="shared" ca="1" si="453"/>
        <v>23</v>
      </c>
      <c r="Q1001" s="304">
        <f t="shared" ca="1" si="454"/>
        <v>0</v>
      </c>
      <c r="R1001" s="306">
        <f t="shared" ca="1" si="455"/>
        <v>0</v>
      </c>
      <c r="S1001" s="307">
        <f t="shared" ca="1" si="456"/>
        <v>12.409999999999973</v>
      </c>
      <c r="T1001" s="304">
        <f t="shared" ca="1" si="436"/>
        <v>121.74209999999975</v>
      </c>
      <c r="U1001" s="311">
        <f t="shared" ca="1" si="437"/>
        <v>0</v>
      </c>
      <c r="V1001" s="306">
        <f t="shared" ca="1" si="438"/>
        <v>1.2253328067811406</v>
      </c>
      <c r="W1001" s="304">
        <f t="shared" ca="1" si="439"/>
        <v>78.391624966581631</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3.3876720873453765</v>
      </c>
      <c r="AH1001" s="304">
        <f t="shared" ca="1" si="463"/>
        <v>-6.3167750080005272</v>
      </c>
    </row>
    <row r="1002" spans="1:34" x14ac:dyDescent="0.25">
      <c r="A1002" s="347">
        <f t="shared" ca="1" si="441"/>
        <v>1E-4</v>
      </c>
      <c r="B1002" s="304">
        <f t="shared" ca="1" si="442"/>
        <v>43.910900000000652</v>
      </c>
      <c r="D1002" s="306">
        <f t="shared" ca="1" si="443"/>
        <v>-0.92414385492020223</v>
      </c>
      <c r="E1002" s="307">
        <f t="shared" ca="1" si="444"/>
        <v>-3.5611553219860399</v>
      </c>
      <c r="F1002" s="304">
        <f t="shared" ca="1" si="445"/>
        <v>3.6791125413469303</v>
      </c>
      <c r="G1002" s="306">
        <f t="shared" ca="1" si="446"/>
        <v>24.48768821380277</v>
      </c>
      <c r="H1002" s="307">
        <f t="shared" ca="1" si="447"/>
        <v>-165.58100337097542</v>
      </c>
      <c r="I1002" s="304">
        <f t="shared" ca="1" si="448"/>
        <v>167.38194511773185</v>
      </c>
      <c r="J1002" s="306">
        <f t="shared" ca="1" si="449"/>
        <v>1638.9749615397848</v>
      </c>
      <c r="K1002" s="307">
        <f t="shared" ca="1" si="450"/>
        <v>-2.7329791353727555</v>
      </c>
      <c r="L1002" s="304">
        <f t="shared" ca="1" si="435"/>
        <v>1638.9772401498728</v>
      </c>
      <c r="M1002" s="306">
        <f t="shared" ca="1" si="451"/>
        <v>-1.4239710953629223</v>
      </c>
      <c r="N1002" s="304">
        <f t="shared" ca="1" si="452"/>
        <v>-81.587533912916314</v>
      </c>
      <c r="P1002" s="310">
        <f t="shared" ca="1" si="453"/>
        <v>23</v>
      </c>
      <c r="Q1002" s="304">
        <f t="shared" ca="1" si="454"/>
        <v>0</v>
      </c>
      <c r="R1002" s="306">
        <f t="shared" ca="1" si="455"/>
        <v>0</v>
      </c>
      <c r="S1002" s="307">
        <f t="shared" ca="1" si="456"/>
        <v>12.409999999999973</v>
      </c>
      <c r="T1002" s="304">
        <f t="shared" ca="1" si="436"/>
        <v>121.74209999999975</v>
      </c>
      <c r="U1002" s="311">
        <f t="shared" ca="1" si="437"/>
        <v>0</v>
      </c>
      <c r="V1002" s="306">
        <f t="shared" ca="1" si="438"/>
        <v>1.2253348356990321</v>
      </c>
      <c r="W1002" s="304">
        <f t="shared" ca="1" si="439"/>
        <v>78.392072082804518</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3.3876372891559878</v>
      </c>
      <c r="AH1002" s="304">
        <f t="shared" ca="1" si="463"/>
        <v>-6.3168110367914423</v>
      </c>
    </row>
    <row r="1003" spans="1:34" x14ac:dyDescent="0.25">
      <c r="A1003" s="347">
        <f t="shared" ca="1" si="441"/>
        <v>1E-4</v>
      </c>
      <c r="B1003" s="304">
        <f t="shared" ca="1" si="442"/>
        <v>43.911000000000655</v>
      </c>
      <c r="D1003" s="306">
        <f t="shared" ca="1" si="443"/>
        <v>-0.92414376786778651</v>
      </c>
      <c r="E1003" s="307">
        <f t="shared" ca="1" si="444"/>
        <v>-3.5611188885388554</v>
      </c>
      <c r="F1003" s="304">
        <f t="shared" ca="1" si="445"/>
        <v>3.6790772541490728</v>
      </c>
      <c r="G1003" s="306">
        <f t="shared" ca="1" si="446"/>
        <v>24.487595799425982</v>
      </c>
      <c r="H1003" s="307">
        <f t="shared" ca="1" si="447"/>
        <v>-165.58135948286429</v>
      </c>
      <c r="I1003" s="304">
        <f t="shared" ca="1" si="448"/>
        <v>167.38228387804247</v>
      </c>
      <c r="J1003" s="306">
        <f t="shared" ca="1" si="449"/>
        <v>1638.9749615397848</v>
      </c>
      <c r="K1003" s="307">
        <f t="shared" ca="1" si="450"/>
        <v>-2.7495372535154474</v>
      </c>
      <c r="L1003" s="304">
        <f t="shared" ca="1" si="435"/>
        <v>1638.9772678440197</v>
      </c>
      <c r="M1003" s="306">
        <f t="shared" ca="1" si="451"/>
        <v>-1.4239719527929617</v>
      </c>
      <c r="N1003" s="304">
        <f t="shared" ca="1" si="452"/>
        <v>-81.587583040038808</v>
      </c>
      <c r="P1003" s="310">
        <f t="shared" ca="1" si="453"/>
        <v>23</v>
      </c>
      <c r="Q1003" s="304">
        <f t="shared" ca="1" si="454"/>
        <v>0</v>
      </c>
      <c r="R1003" s="306">
        <f t="shared" ca="1" si="455"/>
        <v>0</v>
      </c>
      <c r="S1003" s="307">
        <f t="shared" ca="1" si="456"/>
        <v>12.409999999999973</v>
      </c>
      <c r="T1003" s="304">
        <f t="shared" ca="1" si="436"/>
        <v>121.74209999999975</v>
      </c>
      <c r="U1003" s="311">
        <f t="shared" ca="1" si="437"/>
        <v>0</v>
      </c>
      <c r="V1003" s="306">
        <f ca="1">Rho_moyen*(20000-Alt_rampe-pos_z)/(20000+Alt_rampe+pos_z)</f>
        <v>1.2253368646246474</v>
      </c>
      <c r="W1003" s="304">
        <f t="shared" ca="1" si="439"/>
        <v>78.392519197955082</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3.387602491036251</v>
      </c>
      <c r="AH1003" s="304">
        <f t="shared" ca="1" si="463"/>
        <v>-6.3168470654959457</v>
      </c>
    </row>
    <row r="1004" spans="1:34" x14ac:dyDescent="0.25">
      <c r="A1004" s="348">
        <f t="shared" ca="1" si="441"/>
        <v>1E-4</v>
      </c>
      <c r="B1004" s="305">
        <f t="shared" ca="1" si="442"/>
        <v>43.911100000000658</v>
      </c>
      <c r="D1004" s="308">
        <f t="shared" ca="1" si="443"/>
        <v>-0.92414368078283804</v>
      </c>
      <c r="E1004" s="309">
        <f t="shared" ca="1" si="444"/>
        <v>-3.5610824551789042</v>
      </c>
      <c r="F1004" s="305">
        <f t="shared" ca="1" si="445"/>
        <v>3.6790419670498276</v>
      </c>
      <c r="G1004" s="308">
        <f t="shared" ca="1" si="446"/>
        <v>24.487503385057902</v>
      </c>
      <c r="H1004" s="309">
        <f t="shared" ca="1" si="447"/>
        <v>-165.5817155911098</v>
      </c>
      <c r="I1004" s="305">
        <f t="shared" ca="1" si="448"/>
        <v>167.38262263487329</v>
      </c>
      <c r="J1004" s="308">
        <f t="shared" ca="1" si="449"/>
        <v>1638.9749615397848</v>
      </c>
      <c r="K1004" s="309">
        <f t="shared" ca="1" si="450"/>
        <v>-2.7660954072691459</v>
      </c>
      <c r="L1004" s="305">
        <f t="shared" ca="1" si="435"/>
        <v>1638.9772957055084</v>
      </c>
      <c r="M1004" s="308">
        <f t="shared" ca="1" si="451"/>
        <v>-1.4239728102162947</v>
      </c>
      <c r="N1004" s="305">
        <f t="shared" ca="1" si="452"/>
        <v>-81.587632166777041</v>
      </c>
      <c r="P1004" s="312">
        <f t="shared" ca="1" si="453"/>
        <v>23</v>
      </c>
      <c r="Q1004" s="305">
        <f t="shared" ca="1" si="454"/>
        <v>0</v>
      </c>
      <c r="R1004" s="308">
        <f t="shared" ca="1" si="455"/>
        <v>0</v>
      </c>
      <c r="S1004" s="309">
        <f t="shared" ca="1" si="456"/>
        <v>12.409999999999973</v>
      </c>
      <c r="T1004" s="305">
        <f t="shared" ca="1" si="436"/>
        <v>121.74209999999975</v>
      </c>
      <c r="U1004" s="313">
        <f t="shared" ca="1" si="437"/>
        <v>0</v>
      </c>
      <c r="V1004" s="308">
        <f t="shared" ca="1" si="438"/>
        <v>1.2253388935579865</v>
      </c>
      <c r="W1004" s="305">
        <f ca="1">1/2*Rho*Sref*Cx*vit_xz^2</f>
        <v>78.392966312033309</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3.3875676929861624</v>
      </c>
      <c r="AH1004" s="305">
        <f t="shared" ca="1" si="463"/>
        <v>-6.3168830941140408</v>
      </c>
    </row>
    <row r="1005" spans="1:34" x14ac:dyDescent="0.25">
      <c r="Y1005" s="303"/>
    </row>
    <row r="1010" spans="12:12" x14ac:dyDescent="0.25">
      <c r="L1010"/>
    </row>
    <row r="1034" spans="5:25" x14ac:dyDescent="0.25">
      <c r="E1034" s="300" t="s">
        <v>255</v>
      </c>
      <c r="J1034" s="301" t="s">
        <v>247</v>
      </c>
      <c r="T1034" s="300" t="s">
        <v>246</v>
      </c>
      <c r="Y1034" s="302" t="s">
        <v>249</v>
      </c>
    </row>
    <row r="1035" spans="5:25" x14ac:dyDescent="0.25">
      <c r="E1035" s="299" t="s">
        <v>259</v>
      </c>
    </row>
    <row r="1036" spans="5:25" x14ac:dyDescent="0.25">
      <c r="E1036" s="299"/>
      <c r="T1036" s="299" t="s">
        <v>252</v>
      </c>
    </row>
    <row r="1037" spans="5:25" x14ac:dyDescent="0.25">
      <c r="E1037" s="299"/>
      <c r="T1037" s="299" t="s">
        <v>256</v>
      </c>
    </row>
    <row r="1038" spans="5:25" x14ac:dyDescent="0.25">
      <c r="E1038" s="299"/>
      <c r="T1038" s="299" t="s">
        <v>257</v>
      </c>
    </row>
    <row r="1039" spans="5:25" x14ac:dyDescent="0.25">
      <c r="E1039" s="299"/>
      <c r="T1039" s="299" t="s">
        <v>263</v>
      </c>
    </row>
    <row r="1040" spans="5:25" x14ac:dyDescent="0.25">
      <c r="E1040" s="299" t="s">
        <v>258</v>
      </c>
      <c r="T1040" s="299" t="s">
        <v>248</v>
      </c>
    </row>
    <row r="1041" spans="5:20" x14ac:dyDescent="0.25">
      <c r="E1041" s="299"/>
      <c r="T1041" s="299" t="s">
        <v>264</v>
      </c>
    </row>
    <row r="1042" spans="5:20" x14ac:dyDescent="0.25">
      <c r="E1042" s="299"/>
      <c r="R1042" s="303"/>
      <c r="T1042" s="299"/>
    </row>
    <row r="1043" spans="5:20" x14ac:dyDescent="0.25">
      <c r="E1043" s="299"/>
    </row>
    <row r="1044" spans="5:20" x14ac:dyDescent="0.25">
      <c r="E1044" s="299"/>
    </row>
    <row r="1045" spans="5:20" x14ac:dyDescent="0.25">
      <c r="E1045" s="299" t="s">
        <v>261</v>
      </c>
      <c r="R1045" s="303"/>
      <c r="T1045" s="299"/>
    </row>
    <row r="1046" spans="5:20" x14ac:dyDescent="0.25">
      <c r="E1046" s="299"/>
    </row>
    <row r="1047" spans="5:20" x14ac:dyDescent="0.25">
      <c r="E1047" s="299"/>
    </row>
    <row r="1048" spans="5:20" x14ac:dyDescent="0.25">
      <c r="E1048" s="299"/>
      <c r="T1048" s="298" t="s">
        <v>254</v>
      </c>
    </row>
    <row r="1049" spans="5:20" x14ac:dyDescent="0.25">
      <c r="E1049" s="299"/>
    </row>
    <row r="1050" spans="5:20" x14ac:dyDescent="0.25">
      <c r="E1050" s="299" t="s">
        <v>262</v>
      </c>
    </row>
    <row r="1053" spans="5:20" x14ac:dyDescent="0.25">
      <c r="T1053" s="298" t="s">
        <v>269</v>
      </c>
    </row>
    <row r="1055" spans="5:20" x14ac:dyDescent="0.25">
      <c r="E1055" s="299" t="s">
        <v>251</v>
      </c>
    </row>
    <row r="1058" spans="5:20" x14ac:dyDescent="0.25">
      <c r="T1058" s="299" t="s">
        <v>270</v>
      </c>
    </row>
    <row r="1060" spans="5:20" x14ac:dyDescent="0.25">
      <c r="E1060" s="299" t="s">
        <v>260</v>
      </c>
    </row>
    <row r="1061" spans="5:20" x14ac:dyDescent="0.25">
      <c r="E1061" s="299"/>
    </row>
    <row r="1062" spans="5:20" x14ac:dyDescent="0.25">
      <c r="E1062" s="299"/>
    </row>
    <row r="1063" spans="5:20" x14ac:dyDescent="0.25">
      <c r="E1063" s="299"/>
    </row>
    <row r="1064" spans="5:20" x14ac:dyDescent="0.25">
      <c r="E1064" s="299"/>
    </row>
    <row r="1065" spans="5:20" x14ac:dyDescent="0.25">
      <c r="E1065" s="299" t="s">
        <v>250</v>
      </c>
    </row>
    <row r="1066" spans="5:20" x14ac:dyDescent="0.25">
      <c r="E1066" s="299"/>
    </row>
    <row r="1067" spans="5:20" x14ac:dyDescent="0.25">
      <c r="E1067" s="299"/>
    </row>
    <row r="1068" spans="5:20" x14ac:dyDescent="0.25">
      <c r="E1068" s="299"/>
    </row>
    <row r="1069" spans="5:20" x14ac:dyDescent="0.25">
      <c r="E1069" s="299"/>
    </row>
    <row r="1070" spans="5:20" x14ac:dyDescent="0.25">
      <c r="E1070" s="299" t="s">
        <v>253</v>
      </c>
    </row>
    <row r="1071" spans="5:20" x14ac:dyDescent="0.25">
      <c r="E1071" s="299"/>
    </row>
    <row r="1072" spans="5:20" x14ac:dyDescent="0.25">
      <c r="E1072" s="299"/>
    </row>
    <row r="1073" spans="5:5" x14ac:dyDescent="0.25">
      <c r="E1073" s="299"/>
    </row>
    <row r="1074" spans="5:5" x14ac:dyDescent="0.25">
      <c r="E1074" s="299"/>
    </row>
    <row r="1075" spans="5:5" x14ac:dyDescent="0.25">
      <c r="E1075" s="299" t="s">
        <v>265</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15240</xdr:colOff>
                <xdr:row>1010</xdr:row>
                <xdr:rowOff>99060</xdr:rowOff>
              </from>
              <to>
                <xdr:col>20</xdr:col>
                <xdr:colOff>289560</xdr:colOff>
                <xdr:row>1013</xdr:row>
                <xdr:rowOff>22860</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22860</xdr:colOff>
                <xdr:row>1024</xdr:row>
                <xdr:rowOff>160020</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251460</xdr:colOff>
                <xdr:row>1006</xdr:row>
                <xdr:rowOff>22860</xdr:rowOff>
              </from>
              <to>
                <xdr:col>24</xdr:col>
                <xdr:colOff>152400</xdr:colOff>
                <xdr:row>1007</xdr:row>
                <xdr:rowOff>99060</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15240</xdr:colOff>
                <xdr:row>1017</xdr:row>
                <xdr:rowOff>167640</xdr:rowOff>
              </from>
              <to>
                <xdr:col>10</xdr:col>
                <xdr:colOff>586740</xdr:colOff>
                <xdr:row>1019</xdr:row>
                <xdr:rowOff>137160</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15240</xdr:colOff>
                <xdr:row>1014</xdr:row>
                <xdr:rowOff>175260</xdr:rowOff>
              </from>
              <to>
                <xdr:col>11</xdr:col>
                <xdr:colOff>266700</xdr:colOff>
                <xdr:row>1016</xdr:row>
                <xdr:rowOff>68580</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15240</xdr:colOff>
                <xdr:row>1016</xdr:row>
                <xdr:rowOff>76200</xdr:rowOff>
              </from>
              <to>
                <xdr:col>11</xdr:col>
                <xdr:colOff>236220</xdr:colOff>
                <xdr:row>1017</xdr:row>
                <xdr:rowOff>160020</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68580</xdr:rowOff>
              </from>
              <to>
                <xdr:col>17</xdr:col>
                <xdr:colOff>274320</xdr:colOff>
                <xdr:row>1024</xdr:row>
                <xdr:rowOff>167640</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236220</xdr:colOff>
                <xdr:row>1010</xdr:row>
                <xdr:rowOff>91440</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99060</xdr:rowOff>
              </from>
              <to>
                <xdr:col>12</xdr:col>
                <xdr:colOff>243840</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15240</xdr:colOff>
                <xdr:row>1006</xdr:row>
                <xdr:rowOff>99060</xdr:rowOff>
              </from>
              <to>
                <xdr:col>3</xdr:col>
                <xdr:colOff>541020</xdr:colOff>
                <xdr:row>1007</xdr:row>
                <xdr:rowOff>175260</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175260</xdr:rowOff>
              </from>
              <to>
                <xdr:col>16</xdr:col>
                <xdr:colOff>0</xdr:colOff>
                <xdr:row>1026</xdr:row>
                <xdr:rowOff>144780</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15240</xdr:colOff>
                <xdr:row>1013</xdr:row>
                <xdr:rowOff>30480</xdr:rowOff>
              </from>
              <to>
                <xdr:col>21</xdr:col>
                <xdr:colOff>22860</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15240</xdr:colOff>
                <xdr:row>1005</xdr:row>
                <xdr:rowOff>15240</xdr:rowOff>
              </from>
              <to>
                <xdr:col>10</xdr:col>
                <xdr:colOff>403860</xdr:colOff>
                <xdr:row>1006</xdr:row>
                <xdr:rowOff>91440</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15240</xdr:rowOff>
              </from>
              <to>
                <xdr:col>8</xdr:col>
                <xdr:colOff>190500</xdr:colOff>
                <xdr:row>1014</xdr:row>
                <xdr:rowOff>167640</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15240</xdr:colOff>
                <xdr:row>1018</xdr:row>
                <xdr:rowOff>53340</xdr:rowOff>
              </from>
              <to>
                <xdr:col>24</xdr:col>
                <xdr:colOff>1082040</xdr:colOff>
                <xdr:row>1019</xdr:row>
                <xdr:rowOff>137160</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144780</xdr:rowOff>
              </from>
              <to>
                <xdr:col>20</xdr:col>
                <xdr:colOff>579120</xdr:colOff>
                <xdr:row>1022</xdr:row>
                <xdr:rowOff>53340</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53340</xdr:rowOff>
              </from>
              <to>
                <xdr:col>19</xdr:col>
                <xdr:colOff>182880</xdr:colOff>
                <xdr:row>1019</xdr:row>
                <xdr:rowOff>137160</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15240</xdr:colOff>
                <xdr:row>1007</xdr:row>
                <xdr:rowOff>121920</xdr:rowOff>
              </from>
              <to>
                <xdr:col>37</xdr:col>
                <xdr:colOff>281940</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15240</xdr:colOff>
                <xdr:row>1010</xdr:row>
                <xdr:rowOff>91440</xdr:rowOff>
              </from>
              <to>
                <xdr:col>35</xdr:col>
                <xdr:colOff>723900</xdr:colOff>
                <xdr:row>1013</xdr:row>
                <xdr:rowOff>45720</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22860</xdr:rowOff>
              </from>
              <to>
                <xdr:col>11</xdr:col>
                <xdr:colOff>556260</xdr:colOff>
                <xdr:row>1038</xdr:row>
                <xdr:rowOff>22860</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22860</xdr:rowOff>
              </from>
              <to>
                <xdr:col>12</xdr:col>
                <xdr:colOff>30480</xdr:colOff>
                <xdr:row>1043</xdr:row>
                <xdr:rowOff>22860</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15240</xdr:colOff>
                <xdr:row>1014</xdr:row>
                <xdr:rowOff>121920</xdr:rowOff>
              </from>
              <to>
                <xdr:col>20</xdr:col>
                <xdr:colOff>335280</xdr:colOff>
                <xdr:row>1016</xdr:row>
                <xdr:rowOff>15240</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251460</xdr:colOff>
                <xdr:row>1007</xdr:row>
                <xdr:rowOff>114300</xdr:rowOff>
              </from>
              <to>
                <xdr:col>32</xdr:col>
                <xdr:colOff>167640</xdr:colOff>
                <xdr:row>1010</xdr:row>
                <xdr:rowOff>91440</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30480</xdr:rowOff>
              </from>
              <to>
                <xdr:col>12</xdr:col>
                <xdr:colOff>335280</xdr:colOff>
                <xdr:row>1058</xdr:row>
                <xdr:rowOff>53340</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30480</xdr:rowOff>
              </from>
              <to>
                <xdr:col>15</xdr:col>
                <xdr:colOff>53340</xdr:colOff>
                <xdr:row>1063</xdr:row>
                <xdr:rowOff>53340</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30480</xdr:rowOff>
              </from>
              <to>
                <xdr:col>16</xdr:col>
                <xdr:colOff>670560</xdr:colOff>
                <xdr:row>1068</xdr:row>
                <xdr:rowOff>53340</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30480</xdr:rowOff>
              </from>
              <to>
                <xdr:col>16</xdr:col>
                <xdr:colOff>106680</xdr:colOff>
                <xdr:row>1048</xdr:row>
                <xdr:rowOff>30480</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30480</xdr:rowOff>
              </from>
              <to>
                <xdr:col>16</xdr:col>
                <xdr:colOff>388620</xdr:colOff>
                <xdr:row>1053</xdr:row>
                <xdr:rowOff>53340</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30480</xdr:rowOff>
              </from>
              <to>
                <xdr:col>12</xdr:col>
                <xdr:colOff>411480</xdr:colOff>
                <xdr:row>1073</xdr:row>
                <xdr:rowOff>53340</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30480</xdr:rowOff>
              </from>
              <to>
                <xdr:col>32</xdr:col>
                <xdr:colOff>419100</xdr:colOff>
                <xdr:row>1056</xdr:row>
                <xdr:rowOff>30480</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22860</xdr:colOff>
                <xdr:row>1022</xdr:row>
                <xdr:rowOff>53340</xdr:rowOff>
              </from>
              <to>
                <xdr:col>32</xdr:col>
                <xdr:colOff>266700</xdr:colOff>
                <xdr:row>1024</xdr:row>
                <xdr:rowOff>137160</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22860</xdr:rowOff>
              </from>
              <to>
                <xdr:col>36</xdr:col>
                <xdr:colOff>167640</xdr:colOff>
                <xdr:row>1020</xdr:row>
                <xdr:rowOff>22860</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701040</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45720</xdr:rowOff>
              </from>
              <to>
                <xdr:col>35</xdr:col>
                <xdr:colOff>137160</xdr:colOff>
                <xdr:row>1023</xdr:row>
                <xdr:rowOff>45720</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68580</xdr:rowOff>
              </from>
              <to>
                <xdr:col>36</xdr:col>
                <xdr:colOff>53340</xdr:colOff>
                <xdr:row>1026</xdr:row>
                <xdr:rowOff>68580</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30480</xdr:rowOff>
              </from>
              <to>
                <xdr:col>34</xdr:col>
                <xdr:colOff>350520</xdr:colOff>
                <xdr:row>1051</xdr:row>
                <xdr:rowOff>91440</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79"/>
  <sheetViews>
    <sheetView showGridLines="0" workbookViewId="0">
      <selection activeCell="B80" sqref="B80"/>
    </sheetView>
  </sheetViews>
  <sheetFormatPr baseColWidth="10" defaultRowHeight="13.2" x14ac:dyDescent="0.25"/>
  <cols>
    <col min="1" max="1" width="2.21875" customWidth="1"/>
    <col min="2" max="2" width="16.21875" customWidth="1"/>
    <col min="3" max="4" width="11.33203125" customWidth="1"/>
  </cols>
  <sheetData>
    <row r="1" spans="1:13" x14ac:dyDescent="0.25">
      <c r="A1" s="51"/>
      <c r="B1" s="52"/>
      <c r="C1" s="53"/>
      <c r="D1" s="52"/>
      <c r="E1" s="72"/>
      <c r="F1" s="72"/>
      <c r="G1" s="72"/>
      <c r="H1" s="72"/>
      <c r="I1" s="72"/>
      <c r="J1" s="72"/>
      <c r="K1" s="72"/>
      <c r="L1" s="72"/>
      <c r="M1" s="73"/>
    </row>
    <row r="2" spans="1:13" ht="12.75" customHeight="1" x14ac:dyDescent="0.25">
      <c r="A2" s="56"/>
      <c r="B2" s="2"/>
      <c r="C2" s="625" t="s">
        <v>282</v>
      </c>
      <c r="D2" s="625"/>
      <c r="M2" s="75"/>
    </row>
    <row r="3" spans="1:13" ht="12.75" customHeight="1" x14ac:dyDescent="0.25">
      <c r="A3" s="56"/>
      <c r="B3" s="2"/>
      <c r="C3" s="625"/>
      <c r="D3" s="625"/>
      <c r="M3" s="75"/>
    </row>
    <row r="4" spans="1:13" x14ac:dyDescent="0.25">
      <c r="A4" s="56"/>
      <c r="B4" s="2"/>
      <c r="C4" s="628" t="str">
        <f>IF(Lang="Français","Abaques de performance",IF(Lang="English","Performance charts",""))</f>
        <v>Abaques de performance</v>
      </c>
      <c r="D4" s="628"/>
      <c r="M4" s="75"/>
    </row>
    <row r="5" spans="1:13" x14ac:dyDescent="0.25">
      <c r="A5" s="56"/>
      <c r="B5" s="2"/>
      <c r="C5" s="628" t="str">
        <f>IF(Lang="Français","Calcul analytique simple",IF(Lang="English","Analytical computation",""))</f>
        <v>Calcul analytique simple</v>
      </c>
      <c r="D5" s="628"/>
      <c r="M5" s="75"/>
    </row>
    <row r="6" spans="1:13" x14ac:dyDescent="0.25">
      <c r="A6" s="56"/>
      <c r="B6" s="87"/>
      <c r="C6" s="1"/>
      <c r="D6" s="1"/>
      <c r="M6" s="75"/>
    </row>
    <row r="7" spans="1:13" x14ac:dyDescent="0.25">
      <c r="A7" s="59"/>
      <c r="B7" s="6"/>
      <c r="C7" s="607" t="str">
        <f>IF(Lang="Français","Fusée",IF(Lang="English","Rocket",""))</f>
        <v>Fusée</v>
      </c>
      <c r="D7" s="607"/>
      <c r="M7" s="75"/>
    </row>
    <row r="8" spans="1:13" ht="15.6" x14ac:dyDescent="0.3">
      <c r="A8" s="59"/>
      <c r="B8" s="140" t="str">
        <f>IF(Lang="Français","Nom",IF(Lang="English","Name",""))</f>
        <v>Nom</v>
      </c>
      <c r="C8" s="626" t="str">
        <f>Nom</f>
        <v>Indra</v>
      </c>
      <c r="D8" s="626"/>
      <c r="M8" s="75"/>
    </row>
    <row r="9" spans="1:13" ht="15.6" x14ac:dyDescent="0.3">
      <c r="A9" s="59"/>
      <c r="B9" s="140" t="s">
        <v>4</v>
      </c>
      <c r="C9" s="626" t="str">
        <f>Club</f>
        <v>Space'Tech Orléans</v>
      </c>
      <c r="D9" s="626"/>
      <c r="M9" s="75"/>
    </row>
    <row r="10" spans="1:13" x14ac:dyDescent="0.25">
      <c r="A10" s="59"/>
      <c r="B10" s="140" t="str">
        <f>IF(Lang="Français","Masse sans propu",IF(Lang="English","Mass without M",""))</f>
        <v>Masse sans propu</v>
      </c>
      <c r="C10" s="654">
        <f ca="1">MasseSans</f>
        <v>10.771999999999998</v>
      </c>
      <c r="D10" s="654"/>
      <c r="M10" s="75"/>
    </row>
    <row r="11" spans="1:13" x14ac:dyDescent="0.25">
      <c r="A11" s="59"/>
      <c r="B11" s="140" t="str">
        <f>IF(Lang="Français","Masse totale",IF(Lang="English","Total mass",""))</f>
        <v>Masse totale</v>
      </c>
      <c r="C11" s="657" t="str">
        <f ca="1">MassePlein &amp; " kg ±" &amp; MasseSans &amp; " kg"</f>
        <v>14,283 kg ±10,772 kg</v>
      </c>
      <c r="D11" s="657"/>
      <c r="M11" s="75"/>
    </row>
    <row r="12" spans="1:13" x14ac:dyDescent="0.25">
      <c r="A12" s="59"/>
      <c r="B12" s="227" t="str">
        <f>IF(Lang="Français","Propulseur",IF(Lang="English","Motor",""))</f>
        <v>Propulseur</v>
      </c>
      <c r="C12" s="605" t="str">
        <f>Propu</f>
        <v>Orignal (Pro75-3G C)</v>
      </c>
      <c r="D12" s="606"/>
      <c r="M12" s="75"/>
    </row>
    <row r="13" spans="1:13" x14ac:dyDescent="0.25">
      <c r="A13" s="59"/>
      <c r="B13" s="1"/>
      <c r="C13" s="1"/>
      <c r="D13" s="1"/>
      <c r="M13" s="75"/>
    </row>
    <row r="14" spans="1:13" x14ac:dyDescent="0.25">
      <c r="A14" s="74"/>
      <c r="C14" s="607" t="str">
        <f>IF(Lang="Français","Traînée Aérdynamique",IF(Lang="English","Drag",""))</f>
        <v>Traînée Aérdynamique</v>
      </c>
      <c r="D14" s="607"/>
      <c r="M14" s="75"/>
    </row>
    <row r="15" spans="1:13" x14ac:dyDescent="0.25">
      <c r="A15" s="74"/>
      <c r="B15" s="139" t="str">
        <f>IF(Lang="Français","Diamètre Ø",IF(Lang="English","Diameter Ø",""))</f>
        <v>Diamètre Ø</v>
      </c>
      <c r="C15" s="655">
        <f>D_ref</f>
        <v>100</v>
      </c>
      <c r="D15" s="655"/>
      <c r="M15" s="75"/>
    </row>
    <row r="16" spans="1:13" x14ac:dyDescent="0.25">
      <c r="A16" s="74"/>
      <c r="B16" s="140" t="s">
        <v>5</v>
      </c>
      <c r="C16" s="656">
        <f>Cx</f>
        <v>0.5</v>
      </c>
      <c r="D16" s="656"/>
      <c r="M16" s="75"/>
    </row>
    <row r="17" spans="1:13" x14ac:dyDescent="0.25">
      <c r="A17" s="74"/>
      <c r="M17" s="75"/>
    </row>
    <row r="18" spans="1:13" x14ac:dyDescent="0.25">
      <c r="A18" s="74"/>
      <c r="M18" s="75"/>
    </row>
    <row r="19" spans="1:13" x14ac:dyDescent="0.25">
      <c r="A19" s="74"/>
      <c r="M19" s="75"/>
    </row>
    <row r="20" spans="1:13" x14ac:dyDescent="0.25">
      <c r="A20" s="74"/>
      <c r="M20" s="75"/>
    </row>
    <row r="21" spans="1:13" x14ac:dyDescent="0.25">
      <c r="A21" s="74"/>
      <c r="M21" s="75"/>
    </row>
    <row r="22" spans="1:13" x14ac:dyDescent="0.25">
      <c r="A22" s="74"/>
      <c r="M22" s="75"/>
    </row>
    <row r="23" spans="1:13" x14ac:dyDescent="0.25">
      <c r="A23" s="74"/>
      <c r="M23" s="75"/>
    </row>
    <row r="24" spans="1:13" x14ac:dyDescent="0.25">
      <c r="A24" s="74"/>
      <c r="M24" s="75"/>
    </row>
    <row r="25" spans="1:13" x14ac:dyDescent="0.25">
      <c r="A25" s="74"/>
      <c r="M25" s="75"/>
    </row>
    <row r="26" spans="1:13" x14ac:dyDescent="0.25">
      <c r="A26" s="74"/>
      <c r="M26" s="75"/>
    </row>
    <row r="27" spans="1:13" x14ac:dyDescent="0.25">
      <c r="A27" s="74"/>
      <c r="M27" s="75"/>
    </row>
    <row r="28" spans="1:13" x14ac:dyDescent="0.25">
      <c r="A28" s="74"/>
      <c r="M28" s="75"/>
    </row>
    <row r="29" spans="1:13" x14ac:dyDescent="0.25">
      <c r="A29" s="74"/>
      <c r="M29" s="75"/>
    </row>
    <row r="30" spans="1:13" x14ac:dyDescent="0.25">
      <c r="A30" s="74"/>
      <c r="M30" s="75"/>
    </row>
    <row r="31" spans="1:13" x14ac:dyDescent="0.25">
      <c r="A31" s="74"/>
      <c r="M31" s="75"/>
    </row>
    <row r="32" spans="1:13" x14ac:dyDescent="0.25">
      <c r="A32" s="74"/>
      <c r="M32" s="75"/>
    </row>
    <row r="33" spans="1:13" x14ac:dyDescent="0.25">
      <c r="A33" s="74"/>
      <c r="M33" s="75"/>
    </row>
    <row r="34" spans="1:13" x14ac:dyDescent="0.25">
      <c r="A34" s="74"/>
      <c r="M34" s="75"/>
    </row>
    <row r="35" spans="1:13" ht="13.8" thickBot="1" x14ac:dyDescent="0.3">
      <c r="A35" s="77"/>
      <c r="B35" s="78"/>
      <c r="C35" s="78"/>
      <c r="D35" s="78"/>
      <c r="E35" s="78"/>
      <c r="F35" s="78"/>
      <c r="G35" s="78"/>
      <c r="H35" s="78"/>
      <c r="I35" s="78"/>
      <c r="J35" s="78"/>
      <c r="K35" s="78"/>
      <c r="L35" s="78"/>
      <c r="M35" s="79"/>
    </row>
    <row r="39" spans="1:13" x14ac:dyDescent="0.25">
      <c r="B39" s="419" t="s">
        <v>62</v>
      </c>
      <c r="C39" s="170" t="s">
        <v>286</v>
      </c>
      <c r="D39" s="134" t="s">
        <v>283</v>
      </c>
      <c r="E39" s="134" t="s">
        <v>287</v>
      </c>
      <c r="F39" s="134" t="s">
        <v>288</v>
      </c>
      <c r="G39" s="134" t="s">
        <v>13</v>
      </c>
      <c r="H39" s="134" t="s">
        <v>284</v>
      </c>
      <c r="I39" s="134" t="s">
        <v>285</v>
      </c>
      <c r="J39" s="134" t="s">
        <v>300</v>
      </c>
      <c r="K39" s="134" t="s">
        <v>301</v>
      </c>
      <c r="L39" s="134" t="s">
        <v>303</v>
      </c>
      <c r="M39" s="134" t="s">
        <v>291</v>
      </c>
    </row>
    <row r="40" spans="1:13" x14ac:dyDescent="0.25">
      <c r="B40" s="420" t="s">
        <v>292</v>
      </c>
      <c r="C40" s="170" t="s">
        <v>293</v>
      </c>
      <c r="D40" s="134" t="s">
        <v>294</v>
      </c>
      <c r="E40" s="134" t="s">
        <v>295</v>
      </c>
      <c r="F40" s="134" t="s">
        <v>296</v>
      </c>
      <c r="G40" s="134" t="s">
        <v>297</v>
      </c>
      <c r="H40" s="134" t="s">
        <v>298</v>
      </c>
      <c r="I40" s="134" t="s">
        <v>299</v>
      </c>
      <c r="J40" s="134" t="s">
        <v>289</v>
      </c>
      <c r="K40" s="134" t="s">
        <v>290</v>
      </c>
      <c r="L40" s="134"/>
      <c r="M40" s="134"/>
    </row>
    <row r="41" spans="1:13" x14ac:dyDescent="0.25">
      <c r="B41" s="425">
        <f t="shared" ref="B41:B49" ca="1" si="0">MAX(D_ref*0.5, Diam_propu)</f>
        <v>75</v>
      </c>
      <c r="C41" s="403">
        <f t="shared" ref="C41:C67" ca="1" si="1">1/2*Rho_moyen*PI()*D_var^2/4*Cx/10^6</f>
        <v>1.3529710549151357E-3</v>
      </c>
      <c r="D41" s="400">
        <f ca="1">MpropuPlein+0*MasseSans</f>
        <v>3.5110000000000001</v>
      </c>
      <c r="E41" s="400">
        <f t="shared" ref="E41:E67" ca="1" si="2">m_var - 0.5*m_poudre</f>
        <v>2.5745</v>
      </c>
      <c r="F41" s="400">
        <f t="shared" ref="F41:F67" ca="1" si="3">m_var - m_poudre</f>
        <v>1.6379999999999999</v>
      </c>
      <c r="G41" s="407">
        <f t="shared" ref="G41:G67" ca="1" si="4">MAX(0, (I_total/Temps_fin_propu)/m_prop-g)</f>
        <v>300.51733100610352</v>
      </c>
      <c r="H41" s="406">
        <f t="shared" ref="H41:H67" ca="1" si="5">Q_var/m_prop</f>
        <v>5.2552769660716087E-4</v>
      </c>
      <c r="I41" s="403">
        <f t="shared" ref="I41:I67" ca="1" si="6">Q_var/m_bal</f>
        <v>8.2598965501534541E-4</v>
      </c>
      <c r="J41" s="403">
        <f t="shared" ref="J41:J67" ca="1" si="7">1/(2*b_prop)*LN(  ((EXP(2*SQRT(a_prop*b_prop)*Temps_fin_propu)+1)^2)  /  (((1+1)^2)*EXP(2*SQRT(a_prop*b_prop)*Temps_fin_propu)))</f>
        <v>2265.6407110585924</v>
      </c>
      <c r="K41" s="410">
        <f t="shared" ref="K41:K67" ca="1" si="8">SQRT(a_prop/b_prop)  *  (EXP(2*SQRT(a_prop*b_prop)*Temps_fin_propu)-1)/(EXP(2*SQRT(a_prop*b_prop)*Temps_fin_propu)+1)</f>
        <v>720.40587937186433</v>
      </c>
      <c r="L41" s="413">
        <f t="shared" ref="L41:L67" ca="1" si="9">alt_prop + 1/(2*b_bal) * LN(1+b_bal/g*V_prop^2)</f>
        <v>4565.8665325686015</v>
      </c>
      <c r="M41" s="416">
        <f t="shared" ref="M41:M67" ca="1" si="10">Temps_fin_propu + ATAN(SQRT(b_bal/g)*V_prop)/SQRT(b_bal*g)</f>
        <v>20.462214926687707</v>
      </c>
    </row>
    <row r="42" spans="1:13" x14ac:dyDescent="0.25">
      <c r="B42" s="426">
        <f t="shared" ca="1" si="0"/>
        <v>75</v>
      </c>
      <c r="C42" s="404">
        <f t="shared" ca="1" si="1"/>
        <v>1.3529710549151357E-3</v>
      </c>
      <c r="D42" s="401">
        <f ca="1">MpropuPlein+0.25*MasseSans</f>
        <v>6.2039999999999997</v>
      </c>
      <c r="E42" s="401">
        <f t="shared" ca="1" si="2"/>
        <v>5.2675000000000001</v>
      </c>
      <c r="F42" s="401">
        <f t="shared" ca="1" si="3"/>
        <v>4.3309999999999995</v>
      </c>
      <c r="G42" s="408">
        <f t="shared" ca="1" si="4"/>
        <v>141.86303534413167</v>
      </c>
      <c r="H42" s="404">
        <f t="shared" ca="1" si="5"/>
        <v>2.5685259704131668E-4</v>
      </c>
      <c r="I42" s="404">
        <f t="shared" ca="1" si="6"/>
        <v>3.1239230083471157E-4</v>
      </c>
      <c r="J42" s="404">
        <f t="shared" ca="1" si="7"/>
        <v>1382.4234231200865</v>
      </c>
      <c r="K42" s="411">
        <f t="shared" ca="1" si="8"/>
        <v>529.91929332299958</v>
      </c>
      <c r="L42" s="414">
        <f t="shared" ca="1" si="9"/>
        <v>5058.5728824722164</v>
      </c>
      <c r="M42" s="417">
        <f t="shared" ca="1" si="10"/>
        <v>27.225395820365943</v>
      </c>
    </row>
    <row r="43" spans="1:13" x14ac:dyDescent="0.25">
      <c r="B43" s="426">
        <f t="shared" ca="1" si="0"/>
        <v>75</v>
      </c>
      <c r="C43" s="404">
        <f t="shared" ca="1" si="1"/>
        <v>1.3529710549151357E-3</v>
      </c>
      <c r="D43" s="401">
        <f ca="1">MpropuPlein+0.5*MasseSans</f>
        <v>8.8969999999999985</v>
      </c>
      <c r="E43" s="401">
        <f t="shared" ca="1" si="2"/>
        <v>7.9604999999999979</v>
      </c>
      <c r="F43" s="401">
        <f t="shared" ca="1" si="3"/>
        <v>7.0239999999999982</v>
      </c>
      <c r="G43" s="408">
        <f t="shared" ca="1" si="4"/>
        <v>90.552755313763427</v>
      </c>
      <c r="H43" s="404">
        <f t="shared" ca="1" si="5"/>
        <v>1.6996056213995804E-4</v>
      </c>
      <c r="I43" s="404">
        <f t="shared" ca="1" si="6"/>
        <v>1.926211638546606E-4</v>
      </c>
      <c r="J43" s="404">
        <f t="shared" ca="1" si="7"/>
        <v>940.49452432278247</v>
      </c>
      <c r="K43" s="411">
        <f t="shared" ca="1" si="8"/>
        <v>381.81903461087825</v>
      </c>
      <c r="L43" s="414">
        <f t="shared" ca="1" si="9"/>
        <v>4448.215459037765</v>
      </c>
      <c r="M43" s="417">
        <f t="shared" ca="1" si="10"/>
        <v>28.535313436150794</v>
      </c>
    </row>
    <row r="44" spans="1:13" x14ac:dyDescent="0.25">
      <c r="B44" s="426">
        <f t="shared" ca="1" si="0"/>
        <v>75</v>
      </c>
      <c r="C44" s="404">
        <f t="shared" ca="1" si="1"/>
        <v>1.3529710549151357E-3</v>
      </c>
      <c r="D44" s="401">
        <f ca="1">MpropuPlein+0.75*MasseSans</f>
        <v>11.59</v>
      </c>
      <c r="E44" s="401">
        <f t="shared" ca="1" si="2"/>
        <v>10.653499999999999</v>
      </c>
      <c r="F44" s="401">
        <f t="shared" ca="1" si="3"/>
        <v>9.7169999999999987</v>
      </c>
      <c r="G44" s="408">
        <f t="shared" ca="1" si="4"/>
        <v>65.182980116883044</v>
      </c>
      <c r="H44" s="404">
        <f t="shared" ca="1" si="5"/>
        <v>1.2699779930681334E-4</v>
      </c>
      <c r="I44" s="404">
        <f t="shared" ca="1" si="6"/>
        <v>1.3923752752033919E-4</v>
      </c>
      <c r="J44" s="404">
        <f t="shared" ca="1" si="7"/>
        <v>693.24973715987039</v>
      </c>
      <c r="K44" s="411">
        <f t="shared" ca="1" si="8"/>
        <v>287.86543032187217</v>
      </c>
      <c r="L44" s="414">
        <f t="shared" ca="1" si="9"/>
        <v>3485.4630390733073</v>
      </c>
      <c r="M44" s="417">
        <f t="shared" ca="1" si="10"/>
        <v>27.027243920923425</v>
      </c>
    </row>
    <row r="45" spans="1:13" x14ac:dyDescent="0.25">
      <c r="B45" s="426">
        <f t="shared" ca="1" si="0"/>
        <v>75</v>
      </c>
      <c r="C45" s="404">
        <f t="shared" ca="1" si="1"/>
        <v>1.3529710549151357E-3</v>
      </c>
      <c r="D45" s="401">
        <f ca="1">MpropuPlein+1*MasseSans</f>
        <v>14.282999999999998</v>
      </c>
      <c r="E45" s="401">
        <f t="shared" ca="1" si="2"/>
        <v>13.346499999999997</v>
      </c>
      <c r="F45" s="401">
        <f t="shared" ca="1" si="3"/>
        <v>12.409999999999997</v>
      </c>
      <c r="G45" s="408">
        <f t="shared" ca="1" si="4"/>
        <v>50.051215575260457</v>
      </c>
      <c r="H45" s="404">
        <f t="shared" ca="1" si="5"/>
        <v>1.013727235541255E-4</v>
      </c>
      <c r="I45" s="404">
        <f t="shared" ca="1" si="6"/>
        <v>1.0902264745488606E-4</v>
      </c>
      <c r="J45" s="404">
        <f t="shared" ca="1" si="7"/>
        <v>538.25990245656067</v>
      </c>
      <c r="K45" s="411">
        <f t="shared" ca="1" si="8"/>
        <v>225.93184953973531</v>
      </c>
      <c r="L45" s="414">
        <f t="shared" ca="1" si="9"/>
        <v>2599.0515972211324</v>
      </c>
      <c r="M45" s="417">
        <f t="shared" ca="1" si="10"/>
        <v>24.419111882460353</v>
      </c>
    </row>
    <row r="46" spans="1:13" x14ac:dyDescent="0.25">
      <c r="B46" s="426">
        <f t="shared" ca="1" si="0"/>
        <v>75</v>
      </c>
      <c r="C46" s="404">
        <f t="shared" ca="1" si="1"/>
        <v>1.3529710549151357E-3</v>
      </c>
      <c r="D46" s="401">
        <f ca="1">MpropuPlein+1.25*MasseSans</f>
        <v>16.975999999999999</v>
      </c>
      <c r="E46" s="401">
        <f t="shared" ca="1" si="2"/>
        <v>16.0395</v>
      </c>
      <c r="F46" s="401">
        <f t="shared" ca="1" si="3"/>
        <v>15.102999999999998</v>
      </c>
      <c r="G46" s="408">
        <f t="shared" ca="1" si="4"/>
        <v>40.000637094374106</v>
      </c>
      <c r="H46" s="404">
        <f t="shared" ca="1" si="5"/>
        <v>8.435244583154934E-5</v>
      </c>
      <c r="I46" s="404">
        <f t="shared" ca="1" si="6"/>
        <v>8.9582934179642182E-5</v>
      </c>
      <c r="J46" s="404">
        <f t="shared" ca="1" si="7"/>
        <v>432.76345350792582</v>
      </c>
      <c r="K46" s="411">
        <f t="shared" ca="1" si="8"/>
        <v>182.72378450217491</v>
      </c>
      <c r="L46" s="414">
        <f t="shared" ca="1" si="9"/>
        <v>1918.0937880898568</v>
      </c>
      <c r="M46" s="417">
        <f t="shared" ca="1" si="10"/>
        <v>21.698489420367736</v>
      </c>
    </row>
    <row r="47" spans="1:13" x14ac:dyDescent="0.25">
      <c r="B47" s="426">
        <f t="shared" ca="1" si="0"/>
        <v>75</v>
      </c>
      <c r="C47" s="404">
        <f t="shared" ca="1" si="1"/>
        <v>1.3529710549151357E-3</v>
      </c>
      <c r="D47" s="401">
        <f ca="1">MpropuPlein+1.5*MasseSans</f>
        <v>19.668999999999997</v>
      </c>
      <c r="E47" s="401">
        <f t="shared" ca="1" si="2"/>
        <v>18.732499999999998</v>
      </c>
      <c r="F47" s="401">
        <f t="shared" ca="1" si="3"/>
        <v>17.795999999999996</v>
      </c>
      <c r="G47" s="408">
        <f t="shared" ca="1" si="4"/>
        <v>32.839817892711253</v>
      </c>
      <c r="H47" s="404">
        <f t="shared" ca="1" si="5"/>
        <v>7.2225867071407221E-5</v>
      </c>
      <c r="I47" s="404">
        <f t="shared" ca="1" si="6"/>
        <v>7.6026694477137331E-5</v>
      </c>
      <c r="J47" s="404">
        <f t="shared" ca="1" si="7"/>
        <v>356.5640408707888</v>
      </c>
      <c r="K47" s="411">
        <f t="shared" ca="1" si="8"/>
        <v>151.08311028781623</v>
      </c>
      <c r="L47" s="414">
        <f t="shared" ca="1" si="9"/>
        <v>1427.7946488031794</v>
      </c>
      <c r="M47" s="417">
        <f t="shared" ca="1" si="10"/>
        <v>19.258460621245611</v>
      </c>
    </row>
    <row r="48" spans="1:13" x14ac:dyDescent="0.25">
      <c r="B48" s="426">
        <f t="shared" ca="1" si="0"/>
        <v>75</v>
      </c>
      <c r="C48" s="404">
        <f t="shared" ca="1" si="1"/>
        <v>1.3529710549151357E-3</v>
      </c>
      <c r="D48" s="401">
        <f ca="1">MpropuPlein+1.75*MasseSans</f>
        <v>22.361999999999998</v>
      </c>
      <c r="E48" s="401">
        <f t="shared" ca="1" si="2"/>
        <v>21.4255</v>
      </c>
      <c r="F48" s="401">
        <f t="shared" ca="1" si="3"/>
        <v>20.488999999999997</v>
      </c>
      <c r="G48" s="408">
        <f t="shared" ca="1" si="4"/>
        <v>27.479104743189822</v>
      </c>
      <c r="H48" s="404">
        <f t="shared" ca="1" si="5"/>
        <v>6.3147700399763629E-5</v>
      </c>
      <c r="I48" s="404">
        <f t="shared" ca="1" si="6"/>
        <v>6.6034020933922386E-5</v>
      </c>
      <c r="J48" s="404">
        <f t="shared" ca="1" si="7"/>
        <v>299.04208651755482</v>
      </c>
      <c r="K48" s="411">
        <f t="shared" ca="1" si="8"/>
        <v>126.99738569165795</v>
      </c>
      <c r="L48" s="414">
        <f t="shared" ca="1" si="9"/>
        <v>1079.4431403411058</v>
      </c>
      <c r="M48" s="417">
        <f t="shared" ca="1" si="10"/>
        <v>17.185558572657282</v>
      </c>
    </row>
    <row r="49" spans="2:13" x14ac:dyDescent="0.25">
      <c r="B49" s="427">
        <f t="shared" ca="1" si="0"/>
        <v>75</v>
      </c>
      <c r="C49" s="405">
        <f t="shared" ca="1" si="1"/>
        <v>1.3529710549151357E-3</v>
      </c>
      <c r="D49" s="402">
        <f ca="1">MpropuPlein+2*MasseSans</f>
        <v>25.054999999999996</v>
      </c>
      <c r="E49" s="402">
        <f t="shared" ca="1" si="2"/>
        <v>24.118499999999997</v>
      </c>
      <c r="F49" s="402">
        <f t="shared" ca="1" si="3"/>
        <v>23.181999999999995</v>
      </c>
      <c r="G49" s="409">
        <f t="shared" ca="1" si="4"/>
        <v>23.315514176885529</v>
      </c>
      <c r="H49" s="405">
        <f t="shared" ca="1" si="5"/>
        <v>5.60968159261619E-5</v>
      </c>
      <c r="I49" s="405">
        <f t="shared" ca="1" si="6"/>
        <v>5.8362999521833147E-5</v>
      </c>
      <c r="J49" s="405">
        <f t="shared" ca="1" si="7"/>
        <v>254.12301642699219</v>
      </c>
      <c r="K49" s="412">
        <f t="shared" ca="1" si="8"/>
        <v>108.08646449636817</v>
      </c>
      <c r="L49" s="415">
        <f t="shared" ca="1" si="9"/>
        <v>829.78912889657579</v>
      </c>
      <c r="M49" s="418">
        <f t="shared" ca="1" si="10"/>
        <v>15.452866406113852</v>
      </c>
    </row>
    <row r="50" spans="2:13" x14ac:dyDescent="0.25">
      <c r="B50" s="425">
        <f t="shared" ref="B50:B58" si="11">D_ref</f>
        <v>100</v>
      </c>
      <c r="C50" s="403">
        <f t="shared" si="1"/>
        <v>2.4052818754046858E-3</v>
      </c>
      <c r="D50" s="400">
        <f ca="1">MpropuPlein+0*MasseSans</f>
        <v>3.5110000000000001</v>
      </c>
      <c r="E50" s="400">
        <f t="shared" ca="1" si="2"/>
        <v>2.5745</v>
      </c>
      <c r="F50" s="400">
        <f t="shared" ca="1" si="3"/>
        <v>1.6379999999999999</v>
      </c>
      <c r="G50" s="407">
        <f t="shared" ca="1" si="4"/>
        <v>300.51733100610352</v>
      </c>
      <c r="H50" s="403">
        <f t="shared" ca="1" si="5"/>
        <v>9.3427146063495268E-4</v>
      </c>
      <c r="I50" s="403">
        <f t="shared" ca="1" si="6"/>
        <v>1.4684260533606142E-3</v>
      </c>
      <c r="J50" s="403">
        <f t="shared" ca="1" si="7"/>
        <v>1919.8348117538424</v>
      </c>
      <c r="K50" s="410">
        <f t="shared" ca="1" si="8"/>
        <v>559.24790560645113</v>
      </c>
      <c r="L50" s="413">
        <f t="shared" ca="1" si="9"/>
        <v>3236.6715266317624</v>
      </c>
      <c r="M50" s="416">
        <f t="shared" ca="1" si="10"/>
        <v>16.558431169977993</v>
      </c>
    </row>
    <row r="51" spans="2:13" x14ac:dyDescent="0.25">
      <c r="B51" s="426">
        <f t="shared" si="11"/>
        <v>100</v>
      </c>
      <c r="C51" s="404">
        <f t="shared" si="1"/>
        <v>2.4052818754046858E-3</v>
      </c>
      <c r="D51" s="401">
        <f ca="1">MpropuPlein+0.25*MasseSans</f>
        <v>6.2039999999999997</v>
      </c>
      <c r="E51" s="401">
        <f t="shared" ca="1" si="2"/>
        <v>5.2675000000000001</v>
      </c>
      <c r="F51" s="401">
        <f t="shared" ca="1" si="3"/>
        <v>4.3309999999999995</v>
      </c>
      <c r="G51" s="408">
        <f t="shared" ca="1" si="4"/>
        <v>141.86303534413167</v>
      </c>
      <c r="H51" s="404">
        <f t="shared" ca="1" si="5"/>
        <v>4.5662683918456306E-4</v>
      </c>
      <c r="I51" s="404">
        <f t="shared" ca="1" si="6"/>
        <v>5.5536409037282059E-4</v>
      </c>
      <c r="J51" s="404">
        <f t="shared" ca="1" si="7"/>
        <v>1284.0049958828765</v>
      </c>
      <c r="K51" s="411">
        <f t="shared" ca="1" si="8"/>
        <v>463.14685860585621</v>
      </c>
      <c r="L51" s="414">
        <f t="shared" ca="1" si="9"/>
        <v>3603.1433740961584</v>
      </c>
      <c r="M51" s="417">
        <f t="shared" ca="1" si="10"/>
        <v>22.175157969350586</v>
      </c>
    </row>
    <row r="52" spans="2:13" x14ac:dyDescent="0.25">
      <c r="B52" s="426">
        <f t="shared" si="11"/>
        <v>100</v>
      </c>
      <c r="C52" s="404">
        <f t="shared" si="1"/>
        <v>2.4052818754046858E-3</v>
      </c>
      <c r="D52" s="401">
        <f ca="1">MpropuPlein+0.5*MasseSans</f>
        <v>8.8969999999999985</v>
      </c>
      <c r="E52" s="401">
        <f t="shared" ca="1" si="2"/>
        <v>7.9604999999999979</v>
      </c>
      <c r="F52" s="401">
        <f t="shared" ca="1" si="3"/>
        <v>7.0239999999999982</v>
      </c>
      <c r="G52" s="408">
        <f t="shared" ca="1" si="4"/>
        <v>90.552755313763427</v>
      </c>
      <c r="H52" s="404">
        <f t="shared" ca="1" si="5"/>
        <v>3.0215211047103654E-4</v>
      </c>
      <c r="I52" s="404">
        <f t="shared" ca="1" si="6"/>
        <v>3.4243762463050776E-4</v>
      </c>
      <c r="J52" s="404">
        <f t="shared" ca="1" si="7"/>
        <v>906.03063294782476</v>
      </c>
      <c r="K52" s="411">
        <f t="shared" ca="1" si="8"/>
        <v>355.46497765953785</v>
      </c>
      <c r="L52" s="414">
        <f t="shared" ca="1" si="9"/>
        <v>3371.2618126155899</v>
      </c>
      <c r="M52" s="417">
        <f t="shared" ca="1" si="10"/>
        <v>24.114358525514266</v>
      </c>
    </row>
    <row r="53" spans="2:13" x14ac:dyDescent="0.25">
      <c r="B53" s="426">
        <f t="shared" si="11"/>
        <v>100</v>
      </c>
      <c r="C53" s="404">
        <f t="shared" si="1"/>
        <v>2.4052818754046858E-3</v>
      </c>
      <c r="D53" s="401">
        <f ca="1">MpropuPlein+0.75*MasseSans</f>
        <v>11.59</v>
      </c>
      <c r="E53" s="401">
        <f t="shared" ca="1" si="2"/>
        <v>10.653499999999999</v>
      </c>
      <c r="F53" s="401">
        <f t="shared" ca="1" si="3"/>
        <v>9.7169999999999987</v>
      </c>
      <c r="G53" s="408">
        <f t="shared" ca="1" si="4"/>
        <v>65.182980116883044</v>
      </c>
      <c r="H53" s="404">
        <f t="shared" ca="1" si="5"/>
        <v>2.2577386543433481E-4</v>
      </c>
      <c r="I53" s="404">
        <f t="shared" ca="1" si="6"/>
        <v>2.475333822583808E-4</v>
      </c>
      <c r="J53" s="404">
        <f t="shared" ca="1" si="7"/>
        <v>678.4877786391163</v>
      </c>
      <c r="K53" s="411">
        <f t="shared" ca="1" si="8"/>
        <v>276.01840672003414</v>
      </c>
      <c r="L53" s="414">
        <f t="shared" ca="1" si="9"/>
        <v>2844.6618807493915</v>
      </c>
      <c r="M53" s="417">
        <f t="shared" ca="1" si="10"/>
        <v>23.87641671033397</v>
      </c>
    </row>
    <row r="54" spans="2:13" x14ac:dyDescent="0.25">
      <c r="B54" s="426">
        <f t="shared" si="11"/>
        <v>100</v>
      </c>
      <c r="C54" s="404">
        <f t="shared" si="1"/>
        <v>2.4052818754046858E-3</v>
      </c>
      <c r="D54" s="401">
        <f ca="1">MpropuPlein+1*MasseSans</f>
        <v>14.282999999999998</v>
      </c>
      <c r="E54" s="401">
        <f t="shared" ca="1" si="2"/>
        <v>13.346499999999997</v>
      </c>
      <c r="F54" s="401">
        <f t="shared" ca="1" si="3"/>
        <v>12.409999999999997</v>
      </c>
      <c r="G54" s="408">
        <f t="shared" ca="1" si="4"/>
        <v>50.051215575260457</v>
      </c>
      <c r="H54" s="404">
        <f t="shared" ca="1" si="5"/>
        <v>1.8021817520733424E-4</v>
      </c>
      <c r="I54" s="404">
        <f t="shared" ca="1" si="6"/>
        <v>1.9381803991979745E-4</v>
      </c>
      <c r="J54" s="404">
        <f t="shared" ca="1" si="7"/>
        <v>530.97006373276668</v>
      </c>
      <c r="K54" s="411">
        <f t="shared" ca="1" si="8"/>
        <v>219.94277577395266</v>
      </c>
      <c r="L54" s="414">
        <f t="shared" ca="1" si="9"/>
        <v>2261.392253556754</v>
      </c>
      <c r="M54" s="417">
        <f t="shared" ca="1" si="10"/>
        <v>22.432389041855107</v>
      </c>
    </row>
    <row r="55" spans="2:13" x14ac:dyDescent="0.25">
      <c r="B55" s="426">
        <f t="shared" si="11"/>
        <v>100</v>
      </c>
      <c r="C55" s="404">
        <f t="shared" si="1"/>
        <v>2.4052818754046858E-3</v>
      </c>
      <c r="D55" s="401">
        <f ca="1">MpropuPlein+1.25*MasseSans</f>
        <v>16.975999999999999</v>
      </c>
      <c r="E55" s="401">
        <f t="shared" ca="1" si="2"/>
        <v>16.0395</v>
      </c>
      <c r="F55" s="401">
        <f t="shared" ca="1" si="3"/>
        <v>15.102999999999998</v>
      </c>
      <c r="G55" s="408">
        <f t="shared" ca="1" si="4"/>
        <v>40.000637094374106</v>
      </c>
      <c r="H55" s="404">
        <f t="shared" ca="1" si="5"/>
        <v>1.4995990370053218E-4</v>
      </c>
      <c r="I55" s="404">
        <f t="shared" ca="1" si="6"/>
        <v>1.5925854965269723E-4</v>
      </c>
      <c r="J55" s="404">
        <f t="shared" ca="1" si="7"/>
        <v>428.78613450614358</v>
      </c>
      <c r="K55" s="411">
        <f t="shared" ca="1" si="8"/>
        <v>179.41374357023179</v>
      </c>
      <c r="L55" s="414">
        <f t="shared" ca="1" si="9"/>
        <v>1748.6532429832432</v>
      </c>
      <c r="M55" s="417">
        <f t="shared" ca="1" si="10"/>
        <v>20.515647896051945</v>
      </c>
    </row>
    <row r="56" spans="2:13" x14ac:dyDescent="0.25">
      <c r="B56" s="426">
        <f t="shared" si="11"/>
        <v>100</v>
      </c>
      <c r="C56" s="404">
        <f t="shared" si="1"/>
        <v>2.4052818754046858E-3</v>
      </c>
      <c r="D56" s="401">
        <f ca="1">MpropuPlein+1.5*MasseSans</f>
        <v>19.668999999999997</v>
      </c>
      <c r="E56" s="401">
        <f t="shared" ca="1" si="2"/>
        <v>18.732499999999998</v>
      </c>
      <c r="F56" s="401">
        <f t="shared" ca="1" si="3"/>
        <v>17.795999999999996</v>
      </c>
      <c r="G56" s="408">
        <f t="shared" ca="1" si="4"/>
        <v>32.839817892711253</v>
      </c>
      <c r="H56" s="404">
        <f t="shared" ca="1" si="5"/>
        <v>1.2840154146027952E-4</v>
      </c>
      <c r="I56" s="404">
        <f t="shared" ca="1" si="6"/>
        <v>1.3515856795935527E-4</v>
      </c>
      <c r="J56" s="404">
        <f t="shared" ca="1" si="7"/>
        <v>354.23231965125638</v>
      </c>
      <c r="K56" s="411">
        <f t="shared" ca="1" si="8"/>
        <v>149.12745507345124</v>
      </c>
      <c r="L56" s="414">
        <f t="shared" ca="1" si="9"/>
        <v>1342.9813903180216</v>
      </c>
      <c r="M56" s="417">
        <f t="shared" ca="1" si="10"/>
        <v>18.563865004217803</v>
      </c>
    </row>
    <row r="57" spans="2:13" x14ac:dyDescent="0.25">
      <c r="B57" s="426">
        <f t="shared" si="11"/>
        <v>100</v>
      </c>
      <c r="C57" s="404">
        <f t="shared" si="1"/>
        <v>2.4052818754046858E-3</v>
      </c>
      <c r="D57" s="401">
        <f ca="1">MpropuPlein+1.75*MasseSans</f>
        <v>22.361999999999998</v>
      </c>
      <c r="E57" s="401">
        <f t="shared" ca="1" si="2"/>
        <v>21.4255</v>
      </c>
      <c r="F57" s="401">
        <f t="shared" ca="1" si="3"/>
        <v>20.488999999999997</v>
      </c>
      <c r="G57" s="408">
        <f t="shared" ca="1" si="4"/>
        <v>27.479104743189822</v>
      </c>
      <c r="H57" s="404">
        <f t="shared" ca="1" si="5"/>
        <v>1.1226257848846869E-4</v>
      </c>
      <c r="I57" s="404">
        <f t="shared" ca="1" si="6"/>
        <v>1.1739381499363981E-4</v>
      </c>
      <c r="J57" s="404">
        <f t="shared" ca="1" si="7"/>
        <v>297.60023210133062</v>
      </c>
      <c r="K57" s="411">
        <f t="shared" ca="1" si="8"/>
        <v>125.78201930051709</v>
      </c>
      <c r="L57" s="414">
        <f t="shared" ca="1" si="9"/>
        <v>1036.0884017575702</v>
      </c>
      <c r="M57" s="417">
        <f t="shared" ca="1" si="10"/>
        <v>16.773717536972732</v>
      </c>
    </row>
    <row r="58" spans="2:13" x14ac:dyDescent="0.25">
      <c r="B58" s="427">
        <f t="shared" si="11"/>
        <v>100</v>
      </c>
      <c r="C58" s="405">
        <f t="shared" si="1"/>
        <v>2.4052818754046858E-3</v>
      </c>
      <c r="D58" s="402">
        <f ca="1">MpropuPlein+2*MasseSans</f>
        <v>25.054999999999996</v>
      </c>
      <c r="E58" s="402">
        <f t="shared" ca="1" si="2"/>
        <v>24.118499999999997</v>
      </c>
      <c r="F58" s="402">
        <f t="shared" ca="1" si="3"/>
        <v>23.181999999999995</v>
      </c>
      <c r="G58" s="409">
        <f t="shared" ca="1" si="4"/>
        <v>23.315514176885529</v>
      </c>
      <c r="H58" s="405">
        <f t="shared" ca="1" si="5"/>
        <v>9.9727672757621166E-5</v>
      </c>
      <c r="I58" s="405">
        <f t="shared" ca="1" si="6"/>
        <v>1.0375644359437005E-4</v>
      </c>
      <c r="J58" s="405">
        <f t="shared" ca="1" si="7"/>
        <v>253.19459964926179</v>
      </c>
      <c r="K58" s="412">
        <f t="shared" ca="1" si="8"/>
        <v>107.30123292080982</v>
      </c>
      <c r="L58" s="415">
        <f t="shared" ca="1" si="9"/>
        <v>806.9510091130004</v>
      </c>
      <c r="M58" s="418">
        <f t="shared" ca="1" si="10"/>
        <v>15.203818685928638</v>
      </c>
    </row>
    <row r="59" spans="2:13" x14ac:dyDescent="0.25">
      <c r="B59" s="425">
        <f t="shared" ref="B59:B67" si="12">D_ref*1.5</f>
        <v>150</v>
      </c>
      <c r="C59" s="403">
        <f t="shared" si="1"/>
        <v>5.4118842196605428E-3</v>
      </c>
      <c r="D59" s="400">
        <f ca="1">MpropuPlein+0*MasseSans</f>
        <v>3.5110000000000001</v>
      </c>
      <c r="E59" s="400">
        <f t="shared" ca="1" si="2"/>
        <v>2.5745</v>
      </c>
      <c r="F59" s="400">
        <f t="shared" ca="1" si="3"/>
        <v>1.6379999999999999</v>
      </c>
      <c r="G59" s="407">
        <f t="shared" ca="1" si="4"/>
        <v>300.51733100610352</v>
      </c>
      <c r="H59" s="403">
        <f t="shared" ca="1" si="5"/>
        <v>2.1021107864286435E-3</v>
      </c>
      <c r="I59" s="403">
        <f t="shared" ca="1" si="6"/>
        <v>3.3039586200613816E-3</v>
      </c>
      <c r="J59" s="403">
        <f t="shared" ca="1" si="7"/>
        <v>1440.049964773531</v>
      </c>
      <c r="K59" s="410">
        <f t="shared" ca="1" si="8"/>
        <v>377.65613998433196</v>
      </c>
      <c r="L59" s="413">
        <f t="shared" ca="1" si="9"/>
        <v>2029.1215603003384</v>
      </c>
      <c r="M59" s="416">
        <f t="shared" ca="1" si="10"/>
        <v>12.609110000633915</v>
      </c>
    </row>
    <row r="60" spans="2:13" x14ac:dyDescent="0.25">
      <c r="B60" s="426">
        <f t="shared" si="12"/>
        <v>150</v>
      </c>
      <c r="C60" s="404">
        <f t="shared" si="1"/>
        <v>5.4118842196605428E-3</v>
      </c>
      <c r="D60" s="401">
        <f ca="1">MpropuPlein+0.25*MasseSans</f>
        <v>6.2039999999999997</v>
      </c>
      <c r="E60" s="401">
        <f t="shared" ca="1" si="2"/>
        <v>5.2675000000000001</v>
      </c>
      <c r="F60" s="401">
        <f t="shared" ca="1" si="3"/>
        <v>4.3309999999999995</v>
      </c>
      <c r="G60" s="408">
        <f t="shared" ca="1" si="4"/>
        <v>141.86303534413167</v>
      </c>
      <c r="H60" s="404">
        <f t="shared" ca="1" si="5"/>
        <v>1.0274103881652667E-3</v>
      </c>
      <c r="I60" s="404">
        <f t="shared" ca="1" si="6"/>
        <v>1.2495692033388463E-3</v>
      </c>
      <c r="J60" s="404">
        <f t="shared" ca="1" si="7"/>
        <v>1091.316396439084</v>
      </c>
      <c r="K60" s="411">
        <f t="shared" ca="1" si="8"/>
        <v>351.30437347746033</v>
      </c>
      <c r="L60" s="414">
        <f t="shared" ca="1" si="9"/>
        <v>2218.3521472492475</v>
      </c>
      <c r="M60" s="417">
        <f t="shared" ca="1" si="10"/>
        <v>16.636005347436605</v>
      </c>
    </row>
    <row r="61" spans="2:13" x14ac:dyDescent="0.25">
      <c r="B61" s="426">
        <f t="shared" si="12"/>
        <v>150</v>
      </c>
      <c r="C61" s="404">
        <f t="shared" si="1"/>
        <v>5.4118842196605428E-3</v>
      </c>
      <c r="D61" s="401">
        <f ca="1">MpropuPlein+0.5*MasseSans</f>
        <v>8.8969999999999985</v>
      </c>
      <c r="E61" s="401">
        <f t="shared" ca="1" si="2"/>
        <v>7.9604999999999979</v>
      </c>
      <c r="F61" s="401">
        <f t="shared" ca="1" si="3"/>
        <v>7.0239999999999982</v>
      </c>
      <c r="G61" s="408">
        <f t="shared" ca="1" si="4"/>
        <v>90.552755313763427</v>
      </c>
      <c r="H61" s="404">
        <f t="shared" ca="1" si="5"/>
        <v>6.7984224855983217E-4</v>
      </c>
      <c r="I61" s="404">
        <f t="shared" ca="1" si="6"/>
        <v>7.7048465541864242E-4</v>
      </c>
      <c r="J61" s="404">
        <f t="shared" ca="1" si="7"/>
        <v>826.02107192515791</v>
      </c>
      <c r="K61" s="411">
        <f t="shared" ca="1" si="8"/>
        <v>299.78834175366626</v>
      </c>
      <c r="L61" s="414">
        <f t="shared" ca="1" si="9"/>
        <v>2180.2023122296641</v>
      </c>
      <c r="M61" s="417">
        <f t="shared" ca="1" si="10"/>
        <v>18.607036572411523</v>
      </c>
    </row>
    <row r="62" spans="2:13" x14ac:dyDescent="0.25">
      <c r="B62" s="426">
        <f t="shared" si="12"/>
        <v>150</v>
      </c>
      <c r="C62" s="404">
        <f t="shared" si="1"/>
        <v>5.4118842196605428E-3</v>
      </c>
      <c r="D62" s="401">
        <f ca="1">MpropuPlein+0.75*MasseSans</f>
        <v>11.59</v>
      </c>
      <c r="E62" s="401">
        <f t="shared" ca="1" si="2"/>
        <v>10.653499999999999</v>
      </c>
      <c r="F62" s="401">
        <f t="shared" ca="1" si="3"/>
        <v>9.7169999999999987</v>
      </c>
      <c r="G62" s="408">
        <f t="shared" ca="1" si="4"/>
        <v>65.182980116883044</v>
      </c>
      <c r="H62" s="404">
        <f t="shared" ca="1" si="5"/>
        <v>5.0799119722725336E-4</v>
      </c>
      <c r="I62" s="404">
        <f t="shared" ca="1" si="6"/>
        <v>5.5695011008135675E-4</v>
      </c>
      <c r="J62" s="404">
        <f t="shared" ca="1" si="7"/>
        <v>641.25629750707867</v>
      </c>
      <c r="K62" s="411">
        <f t="shared" ca="1" si="8"/>
        <v>247.84980626143965</v>
      </c>
      <c r="L62" s="414">
        <f t="shared" ca="1" si="9"/>
        <v>1989.0557209180747</v>
      </c>
      <c r="M62" s="417">
        <f t="shared" ca="1" si="10"/>
        <v>19.279870684921512</v>
      </c>
    </row>
    <row r="63" spans="2:13" x14ac:dyDescent="0.25">
      <c r="B63" s="426">
        <f t="shared" si="12"/>
        <v>150</v>
      </c>
      <c r="C63" s="404">
        <f t="shared" si="1"/>
        <v>5.4118842196605428E-3</v>
      </c>
      <c r="D63" s="401">
        <f ca="1">MpropuPlein+1*MasseSans</f>
        <v>14.282999999999998</v>
      </c>
      <c r="E63" s="401">
        <f t="shared" ca="1" si="2"/>
        <v>13.346499999999997</v>
      </c>
      <c r="F63" s="401">
        <f t="shared" ca="1" si="3"/>
        <v>12.409999999999997</v>
      </c>
      <c r="G63" s="408">
        <f t="shared" ca="1" si="4"/>
        <v>50.051215575260457</v>
      </c>
      <c r="H63" s="404">
        <f t="shared" ca="1" si="5"/>
        <v>4.05490894216502E-4</v>
      </c>
      <c r="I63" s="404">
        <f t="shared" ca="1" si="6"/>
        <v>4.3609058981954426E-4</v>
      </c>
      <c r="J63" s="404">
        <f t="shared" ca="1" si="7"/>
        <v>511.75824056281056</v>
      </c>
      <c r="K63" s="411">
        <f t="shared" ca="1" si="8"/>
        <v>204.76230960216196</v>
      </c>
      <c r="L63" s="414">
        <f t="shared" ca="1" si="9"/>
        <v>1718.115458556355</v>
      </c>
      <c r="M63" s="417">
        <f t="shared" ca="1" si="10"/>
        <v>19.030225488264968</v>
      </c>
    </row>
    <row r="64" spans="2:13" x14ac:dyDescent="0.25">
      <c r="B64" s="426">
        <f t="shared" si="12"/>
        <v>150</v>
      </c>
      <c r="C64" s="404">
        <f t="shared" si="1"/>
        <v>5.4118842196605428E-3</v>
      </c>
      <c r="D64" s="401">
        <f ca="1">MpropuPlein+1.25*MasseSans</f>
        <v>16.975999999999999</v>
      </c>
      <c r="E64" s="401">
        <f t="shared" ca="1" si="2"/>
        <v>16.0395</v>
      </c>
      <c r="F64" s="401">
        <f t="shared" ca="1" si="3"/>
        <v>15.102999999999998</v>
      </c>
      <c r="G64" s="408">
        <f t="shared" ca="1" si="4"/>
        <v>40.000637094374106</v>
      </c>
      <c r="H64" s="404">
        <f t="shared" ca="1" si="5"/>
        <v>3.3740978332619736E-4</v>
      </c>
      <c r="I64" s="404">
        <f t="shared" ca="1" si="6"/>
        <v>3.5833173671856873E-4</v>
      </c>
      <c r="J64" s="404">
        <f t="shared" ca="1" si="7"/>
        <v>418.03480548882249</v>
      </c>
      <c r="K64" s="411">
        <f t="shared" ca="1" si="8"/>
        <v>170.70482863871976</v>
      </c>
      <c r="L64" s="414">
        <f t="shared" ca="1" si="9"/>
        <v>1429.4484345303781</v>
      </c>
      <c r="M64" s="417">
        <f t="shared" ca="1" si="10"/>
        <v>18.190003855394323</v>
      </c>
    </row>
    <row r="65" spans="2:13" x14ac:dyDescent="0.25">
      <c r="B65" s="426">
        <f t="shared" si="12"/>
        <v>150</v>
      </c>
      <c r="C65" s="404">
        <f t="shared" si="1"/>
        <v>5.4118842196605428E-3</v>
      </c>
      <c r="D65" s="401">
        <f ca="1">MpropuPlein+1.5*MasseSans</f>
        <v>19.668999999999997</v>
      </c>
      <c r="E65" s="401">
        <f t="shared" ca="1" si="2"/>
        <v>18.732499999999998</v>
      </c>
      <c r="F65" s="401">
        <f t="shared" ca="1" si="3"/>
        <v>17.795999999999996</v>
      </c>
      <c r="G65" s="408">
        <f t="shared" ca="1" si="4"/>
        <v>32.839817892711253</v>
      </c>
      <c r="H65" s="404">
        <f t="shared" ca="1" si="5"/>
        <v>2.8890346828562888E-4</v>
      </c>
      <c r="I65" s="404">
        <f t="shared" ca="1" si="6"/>
        <v>3.0410677790854932E-4</v>
      </c>
      <c r="J65" s="404">
        <f t="shared" ca="1" si="7"/>
        <v>347.82944519592911</v>
      </c>
      <c r="K65" s="411">
        <f t="shared" ca="1" si="8"/>
        <v>143.86095540137725</v>
      </c>
      <c r="L65" s="414">
        <f t="shared" ca="1" si="9"/>
        <v>1162.760530840942</v>
      </c>
      <c r="M65" s="417">
        <f t="shared" ca="1" si="10"/>
        <v>17.044416883732175</v>
      </c>
    </row>
    <row r="66" spans="2:13" x14ac:dyDescent="0.25">
      <c r="B66" s="426">
        <f t="shared" si="12"/>
        <v>150</v>
      </c>
      <c r="C66" s="404">
        <f t="shared" si="1"/>
        <v>5.4118842196605428E-3</v>
      </c>
      <c r="D66" s="401">
        <f ca="1">MpropuPlein+1.75*MasseSans</f>
        <v>22.361999999999998</v>
      </c>
      <c r="E66" s="401">
        <f t="shared" ca="1" si="2"/>
        <v>21.4255</v>
      </c>
      <c r="F66" s="401">
        <f t="shared" ca="1" si="3"/>
        <v>20.488999999999997</v>
      </c>
      <c r="G66" s="408">
        <f t="shared" ca="1" si="4"/>
        <v>27.479104743189822</v>
      </c>
      <c r="H66" s="404">
        <f t="shared" ca="1" si="5"/>
        <v>2.5259080159905451E-4</v>
      </c>
      <c r="I66" s="404">
        <f t="shared" ca="1" si="6"/>
        <v>2.6413608373568955E-4</v>
      </c>
      <c r="J66" s="404">
        <f t="shared" ca="1" si="7"/>
        <v>293.59994316993965</v>
      </c>
      <c r="K66" s="411">
        <f t="shared" ca="1" si="8"/>
        <v>122.45865910337861</v>
      </c>
      <c r="L66" s="414">
        <f t="shared" ca="1" si="9"/>
        <v>935.6248911366481</v>
      </c>
      <c r="M66" s="417">
        <f t="shared" ca="1" si="10"/>
        <v>15.8003484428333</v>
      </c>
    </row>
    <row r="67" spans="2:13" x14ac:dyDescent="0.25">
      <c r="B67" s="427">
        <f t="shared" si="12"/>
        <v>150</v>
      </c>
      <c r="C67" s="405">
        <f t="shared" si="1"/>
        <v>5.4118842196605428E-3</v>
      </c>
      <c r="D67" s="402">
        <f ca="1">MpropuPlein+2*MasseSans</f>
        <v>25.054999999999996</v>
      </c>
      <c r="E67" s="402">
        <f t="shared" ca="1" si="2"/>
        <v>24.118499999999997</v>
      </c>
      <c r="F67" s="402">
        <f t="shared" ca="1" si="3"/>
        <v>23.181999999999995</v>
      </c>
      <c r="G67" s="409">
        <f t="shared" ca="1" si="4"/>
        <v>23.315514176885529</v>
      </c>
      <c r="H67" s="405">
        <f t="shared" ca="1" si="5"/>
        <v>2.243872637046476E-4</v>
      </c>
      <c r="I67" s="405">
        <f t="shared" ca="1" si="6"/>
        <v>2.3345199808733259E-4</v>
      </c>
      <c r="J67" s="405">
        <f t="shared" ca="1" si="7"/>
        <v>250.60056436922272</v>
      </c>
      <c r="K67" s="412">
        <f t="shared" ca="1" si="8"/>
        <v>105.13139126247842</v>
      </c>
      <c r="L67" s="415">
        <f t="shared" ca="1" si="9"/>
        <v>750.72029865114962</v>
      </c>
      <c r="M67" s="418">
        <f t="shared" ca="1" si="10"/>
        <v>14.58229005791493</v>
      </c>
    </row>
    <row r="71" spans="2:13" x14ac:dyDescent="0.25">
      <c r="B71" s="24" t="str">
        <f>IF(Lang="Français","Textes pour les graphiques :","Texts for graphics :")</f>
        <v>Textes pour les graphiques :</v>
      </c>
    </row>
    <row r="73" spans="2:13" x14ac:dyDescent="0.25">
      <c r="B73" t="str">
        <f>IF(Lang="Français","Masse totale",IF(Lang="English","Total Mass",""))</f>
        <v>Masse totale</v>
      </c>
    </row>
    <row r="74" spans="2:13" x14ac:dyDescent="0.25">
      <c r="B74" t="str">
        <f>IF(Lang="Français","Vitesse max",IF(Lang="English","Max Velocity",""))</f>
        <v>Vitesse max</v>
      </c>
    </row>
    <row r="75" spans="2:13" x14ac:dyDescent="0.25">
      <c r="B75" t="str">
        <f>Abaco!$B$74 &amp; " / " &amp; Abaco!$B$73</f>
        <v>Vitesse max / Masse totale</v>
      </c>
    </row>
    <row r="76" spans="2:13" x14ac:dyDescent="0.25">
      <c r="B76" t="str">
        <f>IF(Lang="Français","Altitude max",IF(Lang="English","Max Altitude",""))</f>
        <v>Altitude max</v>
      </c>
    </row>
    <row r="77" spans="2:13" x14ac:dyDescent="0.25">
      <c r="B77" t="str">
        <f>Abaco!$B$76 &amp; " / " &amp; Abaco!$B$73</f>
        <v>Altitude max / Masse totale</v>
      </c>
    </row>
    <row r="78" spans="2:13" x14ac:dyDescent="0.25">
      <c r="B78" t="str">
        <f>IF(Lang="Français","Temps de culmination",IF(Lang="English","Apogee time",""))</f>
        <v>Temps de culmination</v>
      </c>
    </row>
    <row r="79" spans="2:13" x14ac:dyDescent="0.25">
      <c r="B79" t="str">
        <f>Abaco!$B$78 &amp; " / " &amp; Abaco!$B$73</f>
        <v>Temps de culmination / Masse totale</v>
      </c>
    </row>
  </sheetData>
  <sheetProtection password="C6AC" sheet="1"/>
  <mergeCells count="12">
    <mergeCell ref="C10:D10"/>
    <mergeCell ref="C12:D12"/>
    <mergeCell ref="C14:D14"/>
    <mergeCell ref="C15:D15"/>
    <mergeCell ref="C16:D16"/>
    <mergeCell ref="C11:D11"/>
    <mergeCell ref="C9:D9"/>
    <mergeCell ref="C2:D3"/>
    <mergeCell ref="C4:D4"/>
    <mergeCell ref="C5:D5"/>
    <mergeCell ref="C7:D7"/>
    <mergeCell ref="C8:D8"/>
  </mergeCells>
  <dataValidations count="3">
    <dataValidation type="decimal" errorStyle="warning" showErrorMessage="1" errorTitle="Cx" error="Le Cx est souvent compris entre 0 et 1._x000a_Cx may be between 0 &amp; 1." sqref="C16:D16" xr:uid="{00000000-0002-0000-0500-000000000000}">
      <formula1>0</formula1>
      <formula2>1</formula2>
    </dataValidation>
    <dataValidation operator="greaterThanOrEqual" sqref="C10:D11" xr:uid="{00000000-0002-0000-0500-000001000000}"/>
    <dataValidation sqref="C12:D12" xr:uid="{00000000-0002-0000-0500-000002000000}"/>
  </dataValidations>
  <hyperlinks>
    <hyperlink ref="B12"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388620</xdr:colOff>
                <xdr:row>68</xdr:row>
                <xdr:rowOff>22860</xdr:rowOff>
              </from>
              <to>
                <xdr:col>12</xdr:col>
                <xdr:colOff>899160</xdr:colOff>
                <xdr:row>85</xdr:row>
                <xdr:rowOff>15240</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769620</xdr:colOff>
                    <xdr:row>9</xdr:row>
                    <xdr:rowOff>15240</xdr:rowOff>
                  </from>
                  <to>
                    <xdr:col>4</xdr:col>
                    <xdr:colOff>0</xdr:colOff>
                    <xdr:row>10</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769620</xdr:colOff>
                    <xdr:row>10</xdr:row>
                    <xdr:rowOff>15240</xdr:rowOff>
                  </from>
                  <to>
                    <xdr:col>4</xdr:col>
                    <xdr:colOff>0</xdr:colOff>
                    <xdr:row>11</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59"/>
  <sheetViews>
    <sheetView showGridLines="0" topLeftCell="A22" workbookViewId="0">
      <selection activeCell="E49" sqref="E49"/>
    </sheetView>
  </sheetViews>
  <sheetFormatPr baseColWidth="10" defaultRowHeight="13.2" x14ac:dyDescent="0.25"/>
  <cols>
    <col min="1" max="1" width="2.21875" customWidth="1"/>
    <col min="2" max="2" width="16.21875" customWidth="1"/>
    <col min="3" max="4" width="13.6640625" customWidth="1"/>
  </cols>
  <sheetData>
    <row r="2" spans="3:8" x14ac:dyDescent="0.25">
      <c r="C2" s="625" t="s">
        <v>179</v>
      </c>
      <c r="D2" s="625"/>
    </row>
    <row r="3" spans="3:8" x14ac:dyDescent="0.25">
      <c r="C3" s="625"/>
      <c r="D3" s="625"/>
    </row>
    <row r="5" spans="3:8" x14ac:dyDescent="0.25">
      <c r="C5" s="13" t="str">
        <f>IF(Lang="Français","Stabilité de fusée à ailerons","Stability of finned rocket")</f>
        <v>Stabilité de fusée à ailerons</v>
      </c>
    </row>
    <row r="6" spans="3:8" x14ac:dyDescent="0.25">
      <c r="C6" s="2" t="str">
        <f>IF(Lang="Français","Calculs de Stabilité basés sur les équations de Barrowman","Stability calculs are based on Barrowman equations")</f>
        <v>Calculs de Stabilité basés sur les équations de Barrowman</v>
      </c>
    </row>
    <row r="7" spans="3:8" x14ac:dyDescent="0.25">
      <c r="C7" s="13" t="str">
        <f>IF(Lang="Français","Trajectographie de fusée","Rocket Trajectography")</f>
        <v>Trajectographie de fusée</v>
      </c>
    </row>
    <row r="8" spans="3:8" x14ac:dyDescent="0.25">
      <c r="C8" s="2" t="str">
        <f>IF(Lang="Français","Trajectoire dans un plan par calcul pas à pas","Trajectory in a plane, step by step computation")</f>
        <v>Trajectoire dans un plan par calcul pas à pas</v>
      </c>
    </row>
    <row r="9" spans="3:8" x14ac:dyDescent="0.25">
      <c r="C9" s="2"/>
    </row>
    <row r="10" spans="3:8" x14ac:dyDescent="0.25">
      <c r="C10" s="14" t="str">
        <f>IF(Lang="Français","Documentation et équations :","Documentation and equations are aviable in french:")</f>
        <v>Documentation et équations :</v>
      </c>
    </row>
    <row r="11" spans="3:8" x14ac:dyDescent="0.25">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5">
      <c r="C12" t="str">
        <f>IF(Lang="Français","Néanmoins, les équations d'intégration du mouvement utilisées sont légèrement différentes !","")</f>
        <v>Néanmoins, les équations d'intégration du mouvement utilisées sont légèrement différentes !</v>
      </c>
    </row>
    <row r="13" spans="3:8" x14ac:dyDescent="0.25">
      <c r="C13" t="str">
        <f>IF(Lang="Français","Logiciels et dossier technique téléchargeables sur :","Softwares and french documentation can be downloaded at:")</f>
        <v>Logiciels et dossier technique téléchargeables sur :</v>
      </c>
      <c r="H13" s="15" t="s">
        <v>40</v>
      </c>
    </row>
    <row r="15" spans="3:8" x14ac:dyDescent="0.25">
      <c r="C15" s="14" t="str">
        <f>IF(Lang="Français","Pour les experts :","For experts:")</f>
        <v>Pour les experts :</v>
      </c>
    </row>
    <row r="16" spans="3:8" x14ac:dyDescent="0.25">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5">
      <c r="C17" t="str">
        <f>IF(Lang="Français","et faire vos modifications personnelles (ajout de moteur...).","and do your personal modification (adding a motor...)")</f>
        <v>et faire vos modifications personnelles (ajout de moteur...).</v>
      </c>
    </row>
    <row r="18" spans="3:8" x14ac:dyDescent="0.25">
      <c r="C18" t="s">
        <v>421</v>
      </c>
    </row>
    <row r="19" spans="3:8" x14ac:dyDescent="0.25">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5">
      <c r="C20" t="str">
        <f>IF(Lang="Français","Aucune Macro. Mise en forme conditionnelle, Noms de zone.","No macro. Conditionnal formating, named zones.")</f>
        <v>Aucune Macro. Mise en forme conditionnelle, Noms de zone.</v>
      </c>
    </row>
    <row r="21" spans="3:8" x14ac:dyDescent="0.25">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5">
      <c r="C22" s="48" t="str">
        <f>IF(Lang="Français","Les unités sont réglés dans le Format de la cellule.","Units are set in cell number Format")</f>
        <v>Les unités sont réglés dans le Format de la cellule.</v>
      </c>
      <c r="H22" s="15" t="s">
        <v>38</v>
      </c>
    </row>
    <row r="23" spans="3:8" x14ac:dyDescent="0.25">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5">
      <c r="C25" s="14" t="str">
        <f>IF(Lang="Français","Licence :","License:")</f>
        <v>Licence :</v>
      </c>
      <c r="D25" s="16"/>
    </row>
    <row r="26" spans="3:8" x14ac:dyDescent="0.25">
      <c r="C26" t="str">
        <f>IF(Lang="Français","Ce logiciel est placé sous la licence Creative Commons BY-SA","This software is placed under Creative Commons licence BY-SA")</f>
        <v>Ce logiciel est placé sous la licence Creative Commons BY-SA</v>
      </c>
      <c r="H26" s="68" t="s">
        <v>123</v>
      </c>
    </row>
    <row r="28" spans="3:8" x14ac:dyDescent="0.25">
      <c r="C28" s="14" t="str">
        <f>IF(Lang="Français","Compatibilité :","Compatibility:")</f>
        <v>Compatibilité :</v>
      </c>
    </row>
    <row r="29" spans="3:8" x14ac:dyDescent="0.25">
      <c r="C29" t="s">
        <v>153</v>
      </c>
    </row>
    <row r="30" spans="3:8" x14ac:dyDescent="0.25">
      <c r="C30" t="s">
        <v>302</v>
      </c>
    </row>
    <row r="31" spans="3:8" x14ac:dyDescent="0.25">
      <c r="C31" s="49" t="s">
        <v>111</v>
      </c>
    </row>
    <row r="33" spans="3:6" x14ac:dyDescent="0.25">
      <c r="C33" s="14" t="str">
        <f>IF(Lang="Français","Historique :","History:")</f>
        <v>Historique :</v>
      </c>
    </row>
    <row r="34" spans="3:6" x14ac:dyDescent="0.25">
      <c r="C34" t="s">
        <v>103</v>
      </c>
      <c r="D34" t="s">
        <v>43</v>
      </c>
      <c r="E34" s="47" t="s">
        <v>102</v>
      </c>
      <c r="F34" t="str">
        <f>IF(Lang="Français","Essais personnels, héritage d'une feuille de calcul de Vincent Girard, ESO","Personnel tests")</f>
        <v>Essais personnels, héritage d'une feuille de calcul de Vincent Girard, ESO</v>
      </c>
    </row>
    <row r="35" spans="3:6" x14ac:dyDescent="0.25">
      <c r="C35" t="s">
        <v>104</v>
      </c>
      <c r="D35" t="s">
        <v>43</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5">
      <c r="C36" t="s">
        <v>105</v>
      </c>
      <c r="D36" t="s">
        <v>43</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5">
      <c r="C37" t="s">
        <v>106</v>
      </c>
      <c r="D37" t="s">
        <v>43</v>
      </c>
      <c r="E37" s="16">
        <v>39694</v>
      </c>
      <c r="F37" t="str">
        <f>IF(Lang="Français","Mise en forme","Formatting")</f>
        <v>Mise en forme</v>
      </c>
    </row>
    <row r="38" spans="3:6" x14ac:dyDescent="0.25">
      <c r="C38" t="s">
        <v>107</v>
      </c>
      <c r="D38" t="s">
        <v>43</v>
      </c>
      <c r="E38" s="16">
        <v>39643</v>
      </c>
      <c r="F38" t="str">
        <f>IF(Lang="Français","Essais personnels, héritage d'une feuille de calcul de Félicien Roux, ESO","Personal tests")</f>
        <v>Essais personnels, héritage d'une feuille de calcul de Félicien Roux, ESO</v>
      </c>
    </row>
    <row r="39" spans="3:6" x14ac:dyDescent="0.25">
      <c r="C39" t="s">
        <v>108</v>
      </c>
      <c r="D39" t="s">
        <v>43</v>
      </c>
      <c r="E39" s="16">
        <v>39755</v>
      </c>
      <c r="F39" t="str">
        <f>IF(Lang="Français","Réécriture équations, traduction, érgonomie","Equations, traduction, ergonomy")</f>
        <v>Réécriture équations, traduction, érgonomie</v>
      </c>
    </row>
    <row r="40" spans="3:6" x14ac:dyDescent="0.25">
      <c r="C40" t="s">
        <v>109</v>
      </c>
      <c r="D40" t="s">
        <v>43</v>
      </c>
      <c r="E40" s="16">
        <v>39756</v>
      </c>
      <c r="F40" t="str">
        <f>IF(Lang="Français","Conditions Initiales pour vol 2e étage, 1ère publication","Initial Conditions, 1st publication")</f>
        <v>Conditions Initiales pour vol 2e étage, 1ère publication</v>
      </c>
    </row>
    <row r="41" spans="3:6" x14ac:dyDescent="0.25">
      <c r="C41" t="s">
        <v>110</v>
      </c>
      <c r="D41" t="s">
        <v>43</v>
      </c>
      <c r="E41" s="16">
        <v>40658</v>
      </c>
      <c r="F41" t="s">
        <v>53</v>
      </c>
    </row>
    <row r="42" spans="3:6" x14ac:dyDescent="0.25">
      <c r="C42" t="s">
        <v>180</v>
      </c>
      <c r="D42" t="s">
        <v>43</v>
      </c>
      <c r="E42" s="16">
        <v>40868</v>
      </c>
      <c r="F42" t="str">
        <f>IF(Lang="Français","Fusion Stabilito+Trajecto, mise en forme, Ctrl, RC, H2O, Abaco","Merge Stabilito+Trajecto, formatting, Ctrl, RC, H2O, Abaco")</f>
        <v>Fusion Stabilito+Trajecto, mise en forme, Ctrl, RC, H2O, Abaco</v>
      </c>
    </row>
    <row r="43" spans="3:6" x14ac:dyDescent="0.25">
      <c r="C43" t="s">
        <v>329</v>
      </c>
      <c r="D43" t="s">
        <v>43</v>
      </c>
      <c r="E43" s="16">
        <v>41194</v>
      </c>
      <c r="F43" t="s">
        <v>333</v>
      </c>
    </row>
    <row r="44" spans="3:6" x14ac:dyDescent="0.25">
      <c r="C44" t="s">
        <v>330</v>
      </c>
      <c r="D44" t="s">
        <v>43</v>
      </c>
      <c r="E44" s="16">
        <v>41329</v>
      </c>
      <c r="F44" t="s">
        <v>334</v>
      </c>
    </row>
    <row r="45" spans="3:6" x14ac:dyDescent="0.25">
      <c r="C45" t="s">
        <v>418</v>
      </c>
      <c r="D45" t="s">
        <v>397</v>
      </c>
      <c r="E45" s="16">
        <v>41947</v>
      </c>
      <c r="F45" t="s">
        <v>417</v>
      </c>
    </row>
    <row r="46" spans="3:6" x14ac:dyDescent="0.25">
      <c r="C46" t="s">
        <v>422</v>
      </c>
      <c r="D46" t="s">
        <v>397</v>
      </c>
      <c r="E46" s="16">
        <v>41965</v>
      </c>
      <c r="F46" t="s">
        <v>420</v>
      </c>
    </row>
    <row r="47" spans="3:6" x14ac:dyDescent="0.25">
      <c r="C47" t="s">
        <v>544</v>
      </c>
      <c r="D47" t="s">
        <v>397</v>
      </c>
      <c r="E47" s="16">
        <v>43048</v>
      </c>
      <c r="F47" t="s">
        <v>545</v>
      </c>
    </row>
    <row r="48" spans="3:6" x14ac:dyDescent="0.25">
      <c r="C48" t="s">
        <v>549</v>
      </c>
      <c r="D48" t="s">
        <v>397</v>
      </c>
      <c r="E48" s="16">
        <v>44160</v>
      </c>
      <c r="F48" t="s">
        <v>551</v>
      </c>
    </row>
    <row r="49" spans="3:6" x14ac:dyDescent="0.25">
      <c r="E49" s="16"/>
    </row>
    <row r="51" spans="3:6" x14ac:dyDescent="0.25">
      <c r="C51" s="14" t="str">
        <f>IF(Lang="Français","Paramètres de référence :","Reference parameters:")</f>
        <v>Paramètres de référence :</v>
      </c>
    </row>
    <row r="52" spans="3:6" x14ac:dyDescent="0.25">
      <c r="C52" s="62" t="str">
        <f>IF(Lang="Français","Gravité g :","Gravity g")</f>
        <v>Gravité g :</v>
      </c>
      <c r="E52" s="62">
        <v>9.81</v>
      </c>
      <c r="F52" s="62" t="s">
        <v>7</v>
      </c>
    </row>
    <row r="53" spans="3:6" x14ac:dyDescent="0.25">
      <c r="C53" s="62" t="str">
        <f>IF(Lang="Français","Masse volumique de l'air ρ :","Air density ρ")</f>
        <v>Masse volumique de l'air ρ :</v>
      </c>
      <c r="E53" s="63">
        <v>1.2250000000000001</v>
      </c>
      <c r="F53" s="62" t="s">
        <v>8</v>
      </c>
    </row>
    <row r="54" spans="3:6" x14ac:dyDescent="0.25">
      <c r="C54" s="48"/>
    </row>
    <row r="55" spans="3:6" x14ac:dyDescent="0.25">
      <c r="C55" s="48"/>
    </row>
    <row r="56" spans="3:6" x14ac:dyDescent="0.25">
      <c r="C56" s="48"/>
    </row>
    <row r="57" spans="3:6" x14ac:dyDescent="0.25">
      <c r="C57" s="48"/>
    </row>
    <row r="58" spans="3:6" x14ac:dyDescent="0.25">
      <c r="C58" s="48"/>
    </row>
    <row r="59" spans="3:6" x14ac:dyDescent="0.25">
      <c r="C59" s="48"/>
    </row>
  </sheetData>
  <sheetProtection password="C6AC"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topLeftCell="D1" zoomScaleNormal="100" workbookViewId="0">
      <selection activeCell="H4" sqref="H4"/>
    </sheetView>
  </sheetViews>
  <sheetFormatPr baseColWidth="10" defaultColWidth="11.6640625" defaultRowHeight="13.2" x14ac:dyDescent="0.25"/>
  <cols>
    <col min="1" max="2" width="2.21875" customWidth="1"/>
    <col min="3" max="3" width="12.6640625" customWidth="1"/>
    <col min="4" max="4" width="21" customWidth="1"/>
    <col min="7" max="7" width="26.6640625" customWidth="1"/>
    <col min="8" max="9" width="6.77734375" customWidth="1"/>
    <col min="10" max="10" width="10" customWidth="1"/>
    <col min="11" max="11" width="13" customWidth="1"/>
    <col min="12" max="12" width="21.21875" customWidth="1"/>
    <col min="14" max="14" width="2.21875" customWidth="1"/>
    <col min="18" max="19" width="16.21875" customWidth="1"/>
  </cols>
  <sheetData>
    <row r="1" spans="2:21" ht="13.8" thickBot="1" x14ac:dyDescent="0.3">
      <c r="O1" s="6"/>
      <c r="P1" s="48"/>
      <c r="Q1" s="48"/>
      <c r="R1" s="48"/>
      <c r="S1" s="48"/>
      <c r="T1" s="48"/>
      <c r="U1" s="48"/>
    </row>
    <row r="2" spans="2:21" ht="13.8" thickBot="1" x14ac:dyDescent="0.3">
      <c r="B2" s="71"/>
      <c r="C2" s="72"/>
      <c r="D2" s="72"/>
      <c r="E2" s="72"/>
      <c r="F2" s="72"/>
      <c r="G2" s="72"/>
      <c r="H2" s="72"/>
      <c r="I2" s="72"/>
      <c r="J2" s="72"/>
      <c r="K2" s="72"/>
      <c r="L2" s="72"/>
      <c r="M2" s="72"/>
      <c r="N2" s="73"/>
      <c r="O2" s="6"/>
      <c r="P2" s="48"/>
      <c r="Q2" s="48"/>
      <c r="R2" s="48"/>
      <c r="S2" s="48"/>
      <c r="T2" s="48"/>
      <c r="U2" s="48"/>
    </row>
    <row r="3" spans="2:21" ht="15.75" customHeight="1" thickBot="1" x14ac:dyDescent="0.3">
      <c r="B3" s="74"/>
      <c r="D3" s="2" t="s">
        <v>431</v>
      </c>
      <c r="N3" s="75"/>
      <c r="O3" s="6"/>
      <c r="P3" s="273" t="s">
        <v>342</v>
      </c>
      <c r="Q3" s="441">
        <f>Long_ogive</f>
        <v>250</v>
      </c>
      <c r="R3" s="48"/>
      <c r="S3" s="48"/>
      <c r="T3" s="48"/>
      <c r="U3" s="48"/>
    </row>
    <row r="4" spans="2:21" ht="15.75" customHeight="1" x14ac:dyDescent="0.25">
      <c r="B4" s="74"/>
      <c r="D4" s="2"/>
      <c r="N4" s="75"/>
      <c r="O4" s="6"/>
      <c r="P4" s="273"/>
      <c r="Q4" s="436"/>
      <c r="R4" s="48"/>
      <c r="S4" s="48"/>
      <c r="T4" s="48"/>
      <c r="U4" s="48"/>
    </row>
    <row r="5" spans="2:21" ht="15.75" customHeight="1" x14ac:dyDescent="0.25">
      <c r="B5" s="74"/>
      <c r="D5" t="s">
        <v>464</v>
      </c>
      <c r="E5" t="str">
        <f>Propu</f>
        <v>Orignal (Pro75-3G C)</v>
      </c>
      <c r="G5" t="s">
        <v>461</v>
      </c>
      <c r="H5">
        <f ca="1">MasseSans</f>
        <v>10.771999999999998</v>
      </c>
      <c r="N5" s="75"/>
      <c r="O5" s="6"/>
      <c r="P5" s="273"/>
      <c r="Q5" s="436"/>
      <c r="R5" s="48"/>
      <c r="S5" s="48"/>
      <c r="T5" s="48"/>
      <c r="U5" s="48"/>
    </row>
    <row r="6" spans="2:21" x14ac:dyDescent="0.25">
      <c r="B6" s="74"/>
      <c r="D6" t="s">
        <v>457</v>
      </c>
      <c r="E6" s="2" t="str">
        <f>Trajecto!H32</f>
        <v>Brun/Orange…</v>
      </c>
      <c r="G6" t="s">
        <v>462</v>
      </c>
      <c r="H6">
        <f>D_ref</f>
        <v>100</v>
      </c>
      <c r="N6" s="75"/>
      <c r="O6" s="6"/>
      <c r="P6" s="273"/>
      <c r="Q6" s="436"/>
      <c r="R6" s="48"/>
      <c r="S6" s="48"/>
      <c r="T6" s="48"/>
      <c r="U6" s="48"/>
    </row>
    <row r="7" spans="2:21" x14ac:dyDescent="0.25">
      <c r="B7" s="74"/>
      <c r="D7" t="s">
        <v>459</v>
      </c>
      <c r="E7" s="2" t="str">
        <f>Trajecto!H33</f>
        <v>Rouge…</v>
      </c>
      <c r="G7" t="s">
        <v>5</v>
      </c>
      <c r="H7">
        <f>Cx</f>
        <v>0.5</v>
      </c>
      <c r="N7" s="75"/>
      <c r="O7" s="6"/>
      <c r="P7" s="273"/>
      <c r="Q7" s="436"/>
      <c r="R7" s="48"/>
      <c r="S7" s="48"/>
      <c r="T7" s="48"/>
      <c r="U7" s="48"/>
    </row>
    <row r="8" spans="2:21" x14ac:dyDescent="0.25">
      <c r="B8" s="74"/>
      <c r="D8" t="s">
        <v>460</v>
      </c>
      <c r="E8" s="2">
        <f>S_para</f>
        <v>3.1101767270538949</v>
      </c>
      <c r="G8" t="s">
        <v>463</v>
      </c>
      <c r="H8">
        <f>L_rampe</f>
        <v>4</v>
      </c>
      <c r="N8" s="75"/>
      <c r="O8" s="6"/>
      <c r="P8" s="273"/>
      <c r="Q8" s="436"/>
      <c r="R8" s="48"/>
      <c r="S8" s="48"/>
      <c r="T8" s="48"/>
      <c r="U8" s="48"/>
    </row>
    <row r="9" spans="2:21" x14ac:dyDescent="0.25">
      <c r="B9" s="74"/>
      <c r="D9" t="s">
        <v>458</v>
      </c>
      <c r="E9" s="2"/>
      <c r="G9" t="s">
        <v>147</v>
      </c>
      <c r="H9" s="534" t="str">
        <f>Forme_ogive</f>
        <v>Ogivale (pointue)</v>
      </c>
      <c r="N9" s="75"/>
      <c r="O9" s="6"/>
      <c r="P9" s="273"/>
      <c r="Q9" s="436"/>
      <c r="R9" s="48"/>
      <c r="S9" s="48"/>
      <c r="T9" s="48"/>
      <c r="U9" s="48"/>
    </row>
    <row r="10" spans="2:21" x14ac:dyDescent="0.25">
      <c r="B10" s="74"/>
      <c r="F10" s="3"/>
      <c r="G10" s="6"/>
      <c r="N10" s="75"/>
      <c r="O10" s="523"/>
      <c r="P10" s="48"/>
      <c r="Q10" s="436"/>
      <c r="R10" s="48"/>
      <c r="S10" s="48"/>
      <c r="T10" s="48"/>
      <c r="U10" s="48"/>
    </row>
    <row r="11" spans="2:21" ht="13.8" thickBot="1" x14ac:dyDescent="0.3">
      <c r="B11" s="74"/>
      <c r="C11" s="12"/>
      <c r="D11" s="275" t="s">
        <v>456</v>
      </c>
      <c r="E11" s="243">
        <f ca="1">MasseSans</f>
        <v>10.771999999999998</v>
      </c>
      <c r="F11" s="246" t="s">
        <v>124</v>
      </c>
      <c r="G11" s="246" t="s">
        <v>126</v>
      </c>
      <c r="H11" s="658">
        <f ca="1">Vsortie_de_rampe</f>
        <v>22.485477111685444</v>
      </c>
      <c r="I11" s="659"/>
      <c r="J11" s="76"/>
      <c r="N11" s="75"/>
      <c r="P11" s="48"/>
      <c r="Q11" s="436"/>
      <c r="R11" s="48"/>
      <c r="S11" s="48"/>
      <c r="T11" s="48"/>
      <c r="U11" s="440" t="str">
        <f>IF(RIGHT(Nb_diam,1)=",", "", X_j)</f>
        <v/>
      </c>
    </row>
    <row r="12" spans="2:21" ht="13.8" thickBot="1" x14ac:dyDescent="0.3">
      <c r="B12" s="74"/>
      <c r="C12" s="12"/>
      <c r="D12" s="276"/>
      <c r="E12" s="244"/>
      <c r="F12" s="6" t="s">
        <v>124</v>
      </c>
      <c r="G12" s="6" t="s">
        <v>127</v>
      </c>
      <c r="H12" s="660">
        <f>Finesse</f>
        <v>17.55</v>
      </c>
      <c r="I12" s="661"/>
      <c r="J12" s="76"/>
      <c r="N12" s="75"/>
      <c r="O12" s="6"/>
      <c r="P12" s="273" t="s">
        <v>343</v>
      </c>
      <c r="Q12" s="441">
        <f>D_og</f>
        <v>100</v>
      </c>
      <c r="R12" s="48"/>
      <c r="S12" s="48"/>
      <c r="T12" s="48"/>
      <c r="U12" s="436"/>
    </row>
    <row r="13" spans="2:21" x14ac:dyDescent="0.25">
      <c r="B13" s="74"/>
      <c r="C13" s="12"/>
      <c r="D13" s="276" t="s">
        <v>5</v>
      </c>
      <c r="E13" s="244">
        <f>Cx</f>
        <v>0.5</v>
      </c>
      <c r="F13" s="6" t="s">
        <v>124</v>
      </c>
      <c r="G13" s="6" t="s">
        <v>435</v>
      </c>
      <c r="H13" s="660">
        <f>Cn</f>
        <v>22.203078547045632</v>
      </c>
      <c r="I13" s="661"/>
      <c r="J13" s="76"/>
      <c r="N13" s="75"/>
      <c r="O13" s="6"/>
      <c r="P13" s="48"/>
      <c r="Q13" s="436"/>
      <c r="R13" s="48"/>
      <c r="S13" s="48"/>
      <c r="T13" s="48"/>
      <c r="U13" s="440" t="str">
        <f>IF(RIGHT(Nb_diam,1)=",", "", X_r)</f>
        <v/>
      </c>
    </row>
    <row r="14" spans="2:21" x14ac:dyDescent="0.25">
      <c r="B14" s="74"/>
      <c r="C14" s="12"/>
      <c r="D14" s="276" t="s">
        <v>144</v>
      </c>
      <c r="E14" s="244">
        <f>L_rampe</f>
        <v>4</v>
      </c>
      <c r="F14" s="6" t="s">
        <v>124</v>
      </c>
      <c r="G14" s="6" t="s">
        <v>128</v>
      </c>
      <c r="H14" s="247">
        <f ca="1">MS_min</f>
        <v>2.8773324269274396</v>
      </c>
      <c r="I14" s="254">
        <f ca="1">MS_max</f>
        <v>3.3235318161248437</v>
      </c>
      <c r="J14" s="76"/>
      <c r="K14" s="76"/>
      <c r="N14" s="75"/>
      <c r="P14" s="48"/>
      <c r="Q14" s="436"/>
      <c r="R14" s="48"/>
      <c r="S14" s="48"/>
      <c r="T14" s="48"/>
      <c r="U14" s="436"/>
    </row>
    <row r="15" spans="2:21" x14ac:dyDescent="0.25">
      <c r="B15" s="74"/>
      <c r="C15" s="12"/>
      <c r="D15" s="276" t="s">
        <v>145</v>
      </c>
      <c r="E15" s="244">
        <f>ep_ail</f>
        <v>2</v>
      </c>
      <c r="F15" s="6" t="s">
        <v>124</v>
      </c>
      <c r="G15" s="6" t="s">
        <v>125</v>
      </c>
      <c r="H15" s="247">
        <f ca="1">MS_Cn_min</f>
        <v>63.885637881031379</v>
      </c>
      <c r="I15" s="254">
        <f ca="1">MS_Cn_max</f>
        <v>73.792637967025129</v>
      </c>
      <c r="J15" s="76"/>
      <c r="K15" s="76"/>
      <c r="N15" s="75"/>
      <c r="P15" s="48"/>
      <c r="Q15" s="436"/>
      <c r="R15" s="48"/>
      <c r="S15" s="48"/>
      <c r="T15" s="48"/>
    </row>
    <row r="16" spans="2:21" x14ac:dyDescent="0.25">
      <c r="B16" s="74"/>
      <c r="C16" s="12"/>
      <c r="D16" s="276" t="s">
        <v>146</v>
      </c>
      <c r="E16" s="244">
        <f>Q_ail</f>
        <v>4</v>
      </c>
      <c r="F16" s="6" t="s">
        <v>129</v>
      </c>
      <c r="G16" s="6" t="s">
        <v>130</v>
      </c>
      <c r="H16" s="247">
        <f ca="1">V_para</f>
        <v>7.9941964101280014</v>
      </c>
      <c r="I16" s="253">
        <f>V_satellite</f>
        <v>12.655562623057198</v>
      </c>
      <c r="J16" s="76"/>
      <c r="N16" s="75"/>
      <c r="P16" s="48"/>
      <c r="Q16" s="436"/>
      <c r="R16" s="48"/>
      <c r="S16" s="48"/>
      <c r="T16" s="48"/>
      <c r="U16" s="440" t="str">
        <f>IF(RIGHT(Nb_diam,1)=",", "", l_j)</f>
        <v/>
      </c>
    </row>
    <row r="17" spans="2:21" x14ac:dyDescent="0.25">
      <c r="B17" s="74"/>
      <c r="C17" s="12"/>
      <c r="D17" s="276" t="s">
        <v>147</v>
      </c>
      <c r="E17" s="272" t="str">
        <f>Forme_ogive</f>
        <v>Ogivale (pointue)</v>
      </c>
      <c r="F17" s="6" t="s">
        <v>131</v>
      </c>
      <c r="G17" s="6" t="s">
        <v>132</v>
      </c>
      <c r="H17" s="660">
        <f>T_para</f>
        <v>21</v>
      </c>
      <c r="I17" s="661"/>
      <c r="J17" s="258"/>
      <c r="N17" s="75"/>
      <c r="P17" s="434" t="s">
        <v>344</v>
      </c>
      <c r="Q17" s="440" t="str">
        <f>IF(RIGHT(Nb_diam,1)=",", "", D2j)</f>
        <v/>
      </c>
      <c r="R17" s="48"/>
      <c r="S17" s="48"/>
      <c r="T17" s="48"/>
      <c r="U17" s="436"/>
    </row>
    <row r="18" spans="2:21" x14ac:dyDescent="0.25">
      <c r="B18" s="74"/>
      <c r="C18" s="12"/>
      <c r="D18" s="276" t="s">
        <v>149</v>
      </c>
      <c r="E18" s="244">
        <f ca="1">XpropuRef-Long_propu</f>
        <v>1269</v>
      </c>
      <c r="F18" s="12" t="s">
        <v>131</v>
      </c>
      <c r="G18" s="12" t="s">
        <v>429</v>
      </c>
      <c r="H18" s="627">
        <f ca="1">T_para-Combustion-Depotage</f>
        <v>21</v>
      </c>
      <c r="I18" s="664"/>
      <c r="N18" s="75"/>
      <c r="P18" s="48"/>
      <c r="Q18" s="436"/>
      <c r="R18" s="48"/>
      <c r="S18" s="48"/>
    </row>
    <row r="19" spans="2:21" x14ac:dyDescent="0.25">
      <c r="B19" s="74"/>
      <c r="C19" s="533"/>
      <c r="D19" s="269"/>
      <c r="E19" s="271"/>
      <c r="F19" s="521" t="s">
        <v>133</v>
      </c>
      <c r="G19" s="274" t="s">
        <v>428</v>
      </c>
      <c r="H19" s="665">
        <f ca="1">Portee_balistique</f>
        <v>1638.9749615397848</v>
      </c>
      <c r="I19" s="666"/>
      <c r="N19" s="75"/>
      <c r="P19" s="48"/>
      <c r="Q19" s="436"/>
      <c r="R19" s="48"/>
      <c r="S19" s="48"/>
      <c r="T19" s="48"/>
    </row>
    <row r="20" spans="2:21" x14ac:dyDescent="0.25">
      <c r="B20" s="74"/>
      <c r="C20" s="12"/>
      <c r="D20" s="6"/>
      <c r="E20" s="6"/>
      <c r="H20" s="520"/>
      <c r="I20" s="520"/>
      <c r="N20" s="75"/>
      <c r="P20" s="48"/>
      <c r="Q20" s="436"/>
      <c r="R20" s="48"/>
      <c r="S20" s="48"/>
      <c r="T20" s="48"/>
      <c r="U20" s="440" t="str">
        <f>IF(RIGHT(Nb_diam,1)=",", "", l_r)</f>
        <v/>
      </c>
    </row>
    <row r="21" spans="2:21" x14ac:dyDescent="0.25">
      <c r="B21" s="74"/>
      <c r="C21" s="12"/>
      <c r="D21" s="6"/>
      <c r="E21" s="263"/>
      <c r="F21" s="3"/>
      <c r="G21" s="6"/>
      <c r="H21" s="520"/>
      <c r="I21" s="520"/>
      <c r="N21" s="75"/>
      <c r="O21" s="273"/>
      <c r="P21" s="436"/>
      <c r="Q21" s="48"/>
      <c r="R21" s="48"/>
      <c r="S21" s="48"/>
      <c r="T21" s="226"/>
      <c r="U21" s="436"/>
    </row>
    <row r="22" spans="2:21" x14ac:dyDescent="0.25">
      <c r="B22" s="74"/>
      <c r="C22" s="528" t="s">
        <v>455</v>
      </c>
      <c r="D22" s="528" t="s">
        <v>439</v>
      </c>
      <c r="E22" s="529"/>
      <c r="F22" s="530" t="s">
        <v>444</v>
      </c>
      <c r="G22" s="528" t="s">
        <v>449</v>
      </c>
      <c r="I22" s="531"/>
      <c r="J22" s="532" t="s">
        <v>157</v>
      </c>
      <c r="K22" s="528" t="s">
        <v>158</v>
      </c>
      <c r="N22" s="75"/>
      <c r="O22" s="273"/>
      <c r="P22" s="436"/>
      <c r="Q22" s="48"/>
      <c r="R22" s="48"/>
      <c r="S22" s="48"/>
      <c r="T22" s="226"/>
      <c r="U22" s="436"/>
    </row>
    <row r="23" spans="2:21" x14ac:dyDescent="0.25">
      <c r="B23" s="74"/>
      <c r="C23" s="528" t="s">
        <v>454</v>
      </c>
      <c r="D23" s="529">
        <f>XcgSans</f>
        <v>1120</v>
      </c>
      <c r="E23" s="529" t="s">
        <v>39</v>
      </c>
      <c r="F23" s="530">
        <f>m_ail</f>
        <v>250</v>
      </c>
      <c r="G23" s="528">
        <f>m_can</f>
        <v>70</v>
      </c>
      <c r="I23" s="531" t="s">
        <v>450</v>
      </c>
      <c r="J23" s="530">
        <f>l_j</f>
        <v>50</v>
      </c>
      <c r="K23" s="528">
        <f>l_r</f>
        <v>50</v>
      </c>
      <c r="N23" s="75"/>
      <c r="O23" s="273"/>
      <c r="P23" s="436"/>
      <c r="Q23" s="48"/>
      <c r="R23" s="48"/>
      <c r="S23" s="48"/>
      <c r="T23" s="226"/>
      <c r="U23" s="436"/>
    </row>
    <row r="24" spans="2:21" x14ac:dyDescent="0.25">
      <c r="B24" s="74"/>
      <c r="C24" s="528" t="s">
        <v>442</v>
      </c>
      <c r="D24" s="528">
        <f>Long_tot</f>
        <v>1755</v>
      </c>
      <c r="E24" s="529" t="s">
        <v>445</v>
      </c>
      <c r="F24" s="530">
        <f>n_ail</f>
        <v>120</v>
      </c>
      <c r="G24" s="528">
        <f>n_can</f>
        <v>10</v>
      </c>
      <c r="I24" s="531" t="s">
        <v>451</v>
      </c>
      <c r="J24" s="530">
        <f>D1j</f>
        <v>100</v>
      </c>
      <c r="K24" s="528">
        <f>D1r</f>
        <v>80</v>
      </c>
      <c r="N24" s="75"/>
      <c r="O24" s="273"/>
      <c r="P24" s="436"/>
      <c r="Q24" s="48"/>
      <c r="R24" s="48"/>
      <c r="S24" s="48"/>
      <c r="T24" s="226"/>
      <c r="U24" s="436"/>
    </row>
    <row r="25" spans="2:21" x14ac:dyDescent="0.25">
      <c r="B25" s="74"/>
      <c r="C25" s="528" t="s">
        <v>443</v>
      </c>
      <c r="D25" s="528">
        <f>XpropuRef</f>
        <v>1755</v>
      </c>
      <c r="E25" s="529" t="s">
        <v>446</v>
      </c>
      <c r="F25" s="530">
        <f>p_ail</f>
        <v>200</v>
      </c>
      <c r="G25" s="528">
        <f>p_can</f>
        <v>40</v>
      </c>
      <c r="I25" s="531" t="s">
        <v>452</v>
      </c>
      <c r="J25" s="530">
        <f>D2j</f>
        <v>80</v>
      </c>
      <c r="K25" s="528">
        <f>D2r</f>
        <v>100</v>
      </c>
      <c r="N25" s="75"/>
      <c r="O25" s="273"/>
      <c r="P25" s="436"/>
      <c r="Q25" s="48"/>
      <c r="R25" s="48"/>
      <c r="S25" s="48"/>
      <c r="T25" s="226"/>
      <c r="U25" s="436"/>
    </row>
    <row r="26" spans="2:21" x14ac:dyDescent="0.25">
      <c r="B26" s="74"/>
      <c r="C26" s="528" t="s">
        <v>440</v>
      </c>
      <c r="D26" s="528">
        <f>D_ref</f>
        <v>100</v>
      </c>
      <c r="E26" s="529" t="s">
        <v>447</v>
      </c>
      <c r="F26" s="530">
        <f>E_ail</f>
        <v>160</v>
      </c>
      <c r="G26" s="528">
        <f>E_can</f>
        <v>50</v>
      </c>
      <c r="I26" s="531" t="s">
        <v>453</v>
      </c>
      <c r="J26" s="530">
        <f>X_j</f>
        <v>300</v>
      </c>
      <c r="K26" s="528">
        <f>X_r</f>
        <v>500</v>
      </c>
      <c r="N26" s="75"/>
      <c r="O26" s="273"/>
      <c r="P26" s="436"/>
      <c r="Q26" s="48"/>
      <c r="R26" s="48"/>
      <c r="S26" s="48"/>
      <c r="T26" s="226"/>
      <c r="U26" s="436"/>
    </row>
    <row r="27" spans="2:21" x14ac:dyDescent="0.25">
      <c r="B27" s="74"/>
      <c r="C27" s="528" t="s">
        <v>441</v>
      </c>
      <c r="D27" s="528">
        <f>Long_ogive</f>
        <v>250</v>
      </c>
      <c r="E27" s="529" t="s">
        <v>448</v>
      </c>
      <c r="F27" s="530">
        <f>X_ail</f>
        <v>1755</v>
      </c>
      <c r="G27" s="528">
        <f>X_can</f>
        <v>700</v>
      </c>
      <c r="H27" s="520"/>
      <c r="I27" s="3"/>
      <c r="J27" s="2"/>
      <c r="N27" s="75"/>
      <c r="O27" s="273"/>
      <c r="P27" s="436"/>
      <c r="Q27" s="48"/>
      <c r="R27" s="48"/>
      <c r="S27" s="48"/>
      <c r="T27" s="226"/>
      <c r="U27" s="436"/>
    </row>
    <row r="28" spans="2:21" ht="13.8" thickBot="1" x14ac:dyDescent="0.3">
      <c r="B28" s="74"/>
      <c r="E28" s="95"/>
      <c r="N28" s="75"/>
      <c r="O28" s="2"/>
      <c r="P28" s="6"/>
      <c r="Q28" s="2"/>
      <c r="R28" s="48"/>
      <c r="S28" s="48"/>
      <c r="T28" s="48"/>
      <c r="U28" s="436"/>
    </row>
    <row r="29" spans="2:21" ht="13.8" thickBot="1" x14ac:dyDescent="0.3">
      <c r="B29" s="74"/>
      <c r="C29" s="663" t="s">
        <v>142</v>
      </c>
      <c r="D29" s="663" t="s">
        <v>134</v>
      </c>
      <c r="E29" s="663" t="s">
        <v>135</v>
      </c>
      <c r="F29" s="663"/>
      <c r="G29" s="663"/>
      <c r="H29" s="662" t="s">
        <v>136</v>
      </c>
      <c r="I29" s="662"/>
      <c r="J29" s="662"/>
      <c r="K29" s="662"/>
      <c r="L29" s="663" t="s">
        <v>137</v>
      </c>
      <c r="M29" s="663" t="s">
        <v>138</v>
      </c>
      <c r="N29" s="75"/>
      <c r="O29" s="273" t="s">
        <v>432</v>
      </c>
      <c r="P29" s="441">
        <f>n_ail</f>
        <v>120</v>
      </c>
      <c r="Q29" s="2"/>
      <c r="R29" s="48"/>
      <c r="S29" s="48"/>
      <c r="T29" s="48"/>
      <c r="U29" s="12" t="s">
        <v>436</v>
      </c>
    </row>
    <row r="30" spans="2:21" ht="13.8" thickBot="1" x14ac:dyDescent="0.3">
      <c r="B30" s="74"/>
      <c r="C30" s="663"/>
      <c r="D30" s="663"/>
      <c r="E30" s="663"/>
      <c r="F30" s="663"/>
      <c r="G30" s="663"/>
      <c r="H30" s="662" t="s">
        <v>139</v>
      </c>
      <c r="I30" s="662"/>
      <c r="J30" s="69" t="s">
        <v>140</v>
      </c>
      <c r="K30" s="70" t="s">
        <v>141</v>
      </c>
      <c r="L30" s="663"/>
      <c r="M30" s="663"/>
      <c r="N30" s="75"/>
      <c r="P30" s="12"/>
      <c r="R30" s="48"/>
      <c r="S30" s="48"/>
      <c r="T30" s="226" t="s">
        <v>434</v>
      </c>
      <c r="U30" s="525">
        <f>[0]!p_can</f>
        <v>40</v>
      </c>
    </row>
    <row r="31" spans="2:21" ht="13.8" thickBot="1" x14ac:dyDescent="0.3">
      <c r="B31" s="74"/>
      <c r="C31" s="83">
        <f>Beta_rampe</f>
        <v>80</v>
      </c>
      <c r="D31" s="84">
        <f ca="1">Portee_balistique</f>
        <v>1638.9749615397848</v>
      </c>
      <c r="E31" s="667">
        <f ca="1">T_para+Dt_para</f>
        <v>288.11433781293329</v>
      </c>
      <c r="F31" s="667"/>
      <c r="G31" s="667"/>
      <c r="H31" s="668">
        <f ca="1">Altitude_culmi</f>
        <v>2136.2366360495694</v>
      </c>
      <c r="I31" s="668"/>
      <c r="J31" s="85">
        <f ca="1">Temps_culmi</f>
        <v>21.399999999999974</v>
      </c>
      <c r="K31" s="86">
        <f ca="1">Vit_culmi</f>
        <v>39.246621783777002</v>
      </c>
      <c r="L31" s="84">
        <f ca="1">Acc_max</f>
        <v>80.150922596350284</v>
      </c>
      <c r="M31" s="86">
        <f ca="1">Vit_max</f>
        <v>217.01781453168348</v>
      </c>
      <c r="N31" s="75"/>
      <c r="O31" s="273" t="s">
        <v>438</v>
      </c>
      <c r="P31" s="441">
        <f>ep_ail</f>
        <v>2</v>
      </c>
      <c r="Q31" s="2"/>
      <c r="R31" s="48"/>
      <c r="S31" s="48"/>
      <c r="T31" s="226" t="s">
        <v>346</v>
      </c>
      <c r="U31" s="525">
        <f>[0]!m_can</f>
        <v>70</v>
      </c>
    </row>
    <row r="32" spans="2:21" ht="13.8" thickBot="1" x14ac:dyDescent="0.3">
      <c r="B32" s="74"/>
      <c r="C32" s="522"/>
      <c r="D32" s="242"/>
      <c r="E32" s="247"/>
      <c r="F32" s="247"/>
      <c r="G32" s="247"/>
      <c r="H32" s="283"/>
      <c r="I32" s="283"/>
      <c r="J32" s="247"/>
      <c r="K32" s="248"/>
      <c r="L32" s="242"/>
      <c r="M32" s="248"/>
      <c r="N32" s="75"/>
      <c r="O32" s="273" t="s">
        <v>437</v>
      </c>
      <c r="P32" s="524">
        <f>Q_ail</f>
        <v>4</v>
      </c>
      <c r="Q32" s="2"/>
      <c r="R32" s="48"/>
      <c r="S32" s="48"/>
      <c r="T32" s="226" t="s">
        <v>432</v>
      </c>
      <c r="U32" s="525">
        <f>[0]!n_can</f>
        <v>10</v>
      </c>
    </row>
    <row r="33" spans="2:21" ht="13.8" thickBot="1" x14ac:dyDescent="0.3">
      <c r="B33" s="74"/>
      <c r="D33" s="80"/>
      <c r="E33" s="81"/>
      <c r="F33" s="81"/>
      <c r="G33" s="81"/>
      <c r="H33" s="82"/>
      <c r="I33" s="82"/>
      <c r="J33" s="81"/>
      <c r="K33" s="76"/>
      <c r="L33" s="80"/>
      <c r="M33" s="76"/>
      <c r="N33" s="75"/>
      <c r="O33" s="2"/>
      <c r="Q33" s="2"/>
      <c r="R33" s="48"/>
      <c r="S33" s="48"/>
      <c r="T33" s="226" t="s">
        <v>433</v>
      </c>
      <c r="U33" s="525">
        <f>[0]!E_can</f>
        <v>50</v>
      </c>
    </row>
    <row r="34" spans="2:21" ht="13.8" thickBot="1" x14ac:dyDescent="0.3">
      <c r="B34" s="77"/>
      <c r="C34" s="78"/>
      <c r="D34" s="78"/>
      <c r="E34" s="78"/>
      <c r="F34" s="78"/>
      <c r="G34" s="78"/>
      <c r="H34" s="78"/>
      <c r="I34" s="78"/>
      <c r="J34" s="78"/>
      <c r="K34" s="78"/>
      <c r="L34" s="78"/>
      <c r="M34" s="78"/>
      <c r="N34" s="79"/>
      <c r="O34" s="2"/>
      <c r="P34" s="273" t="s">
        <v>433</v>
      </c>
      <c r="Q34" s="441">
        <f>E_ail</f>
        <v>160</v>
      </c>
      <c r="T34" s="226" t="s">
        <v>438</v>
      </c>
      <c r="U34" s="525">
        <f>[0]!ep_can</f>
        <v>2</v>
      </c>
    </row>
    <row r="35" spans="2:21" x14ac:dyDescent="0.25">
      <c r="O35" s="2"/>
      <c r="P35" s="6"/>
      <c r="Q35" s="6"/>
      <c r="T35" s="226" t="s">
        <v>437</v>
      </c>
      <c r="U35" s="525">
        <f>[0]!Q_can</f>
        <v>4</v>
      </c>
    </row>
    <row r="36" spans="2:21" ht="13.8" thickBot="1" x14ac:dyDescent="0.3">
      <c r="T36" s="2"/>
      <c r="U36" s="12"/>
    </row>
    <row r="37" spans="2:21" x14ac:dyDescent="0.25">
      <c r="B37" s="71"/>
      <c r="C37" s="72"/>
      <c r="D37" s="72"/>
      <c r="E37" s="72"/>
      <c r="F37" s="72"/>
      <c r="G37" s="72"/>
      <c r="H37" s="72"/>
      <c r="I37" s="72"/>
      <c r="J37" s="72"/>
      <c r="K37" s="72"/>
      <c r="L37" s="72"/>
      <c r="M37" s="72"/>
      <c r="N37" s="73"/>
      <c r="T37" s="2"/>
    </row>
    <row r="38" spans="2:21" x14ac:dyDescent="0.25">
      <c r="B38" s="74"/>
      <c r="D38" s="2" t="s">
        <v>196</v>
      </c>
      <c r="N38" s="75"/>
    </row>
    <row r="39" spans="2:21" x14ac:dyDescent="0.25">
      <c r="B39" s="74"/>
      <c r="D39" s="2"/>
      <c r="N39" s="75"/>
    </row>
    <row r="40" spans="2:21" x14ac:dyDescent="0.25">
      <c r="B40" s="74"/>
      <c r="D40" s="275" t="s">
        <v>150</v>
      </c>
      <c r="E40" s="246">
        <f>D_ref</f>
        <v>100</v>
      </c>
      <c r="F40" s="265"/>
      <c r="G40" s="265"/>
      <c r="H40" s="261" t="s">
        <v>199</v>
      </c>
      <c r="I40" s="261" t="s">
        <v>200</v>
      </c>
      <c r="J40" s="262" t="s">
        <v>201</v>
      </c>
      <c r="N40" s="75"/>
    </row>
    <row r="41" spans="2:21" x14ac:dyDescent="0.25">
      <c r="B41" s="74"/>
      <c r="D41" s="276" t="s">
        <v>148</v>
      </c>
      <c r="E41" s="6">
        <f>Long_ogive</f>
        <v>250</v>
      </c>
      <c r="F41" s="2"/>
      <c r="G41" s="2" t="s">
        <v>202</v>
      </c>
      <c r="H41" s="6">
        <f ca="1">MasseSans</f>
        <v>10.771999999999998</v>
      </c>
      <c r="I41" s="6">
        <f ca="1">MasseVide</f>
        <v>12.409999999999998</v>
      </c>
      <c r="J41" s="244">
        <f ca="1">MassePlein</f>
        <v>14.282999999999998</v>
      </c>
      <c r="N41" s="75"/>
    </row>
    <row r="42" spans="2:21" x14ac:dyDescent="0.25">
      <c r="B42" s="74"/>
      <c r="D42" s="276" t="s">
        <v>151</v>
      </c>
      <c r="E42" s="6">
        <f>X_ail-m_ail</f>
        <v>1505</v>
      </c>
      <c r="F42" s="255"/>
      <c r="G42" s="255" t="s">
        <v>219</v>
      </c>
      <c r="H42" s="263">
        <f>XcgSans</f>
        <v>1120</v>
      </c>
      <c r="I42" s="263">
        <f ca="1">XcgVide</f>
        <v>1171.740209508461</v>
      </c>
      <c r="J42" s="245">
        <f ca="1">XcgPlein</f>
        <v>1216.3601484282015</v>
      </c>
      <c r="N42" s="75"/>
    </row>
    <row r="43" spans="2:21" x14ac:dyDescent="0.25">
      <c r="B43" s="74"/>
      <c r="D43" s="276" t="str">
        <f>IF(Lang="Français","Emplanture 'm'",IF(Lang="English","Root edge  'm'",""))</f>
        <v>Emplanture 'm'</v>
      </c>
      <c r="E43" s="244">
        <f>m_ail</f>
        <v>250</v>
      </c>
      <c r="N43" s="75"/>
    </row>
    <row r="44" spans="2:21" x14ac:dyDescent="0.25">
      <c r="B44" s="74"/>
      <c r="D44" s="276" t="str">
        <f>IF(Lang="Français","Saumon      'n'",IF(Lang="English","Tip edge    'n'",""))</f>
        <v>Saumon      'n'</v>
      </c>
      <c r="E44" s="244">
        <f>n_ail</f>
        <v>120</v>
      </c>
      <c r="F44" s="246" t="s">
        <v>203</v>
      </c>
      <c r="G44" s="246" t="s">
        <v>208</v>
      </c>
      <c r="H44" s="658">
        <f ca="1">Vsortie_de_rampe</f>
        <v>22.485477111685444</v>
      </c>
      <c r="I44" s="659"/>
      <c r="N44" s="75"/>
    </row>
    <row r="45" spans="2:21" x14ac:dyDescent="0.25">
      <c r="B45" s="74"/>
      <c r="D45" s="276" t="str">
        <f>IF(Lang="Français","Flèche        'p'",IF(Lang="English","Offset         'p'",""))</f>
        <v>Flèche        'p'</v>
      </c>
      <c r="E45" s="244">
        <f>p_ail</f>
        <v>200</v>
      </c>
      <c r="F45" s="6" t="s">
        <v>204</v>
      </c>
      <c r="G45" s="6" t="s">
        <v>209</v>
      </c>
      <c r="H45" s="660">
        <f>Finesse</f>
        <v>17.55</v>
      </c>
      <c r="I45" s="661"/>
      <c r="N45" s="75"/>
    </row>
    <row r="46" spans="2:21" x14ac:dyDescent="0.25">
      <c r="B46" s="74"/>
      <c r="D46" s="276" t="str">
        <f>IF(Lang="Français","Envergure   'E'",IF(Lang="English","Span          'E'",""))</f>
        <v>Envergure   'E'</v>
      </c>
      <c r="E46" s="244">
        <f>E_ail</f>
        <v>160</v>
      </c>
      <c r="F46" s="6" t="s">
        <v>205</v>
      </c>
      <c r="G46" s="6" t="s">
        <v>210</v>
      </c>
      <c r="H46" s="660">
        <f>Cn</f>
        <v>22.203078547045632</v>
      </c>
      <c r="I46" s="661"/>
      <c r="N46" s="75"/>
    </row>
    <row r="47" spans="2:21" x14ac:dyDescent="0.25">
      <c r="B47" s="74"/>
      <c r="D47" s="276" t="s">
        <v>145</v>
      </c>
      <c r="E47" s="244">
        <f>ep_ail</f>
        <v>2</v>
      </c>
      <c r="F47" s="6" t="s">
        <v>206</v>
      </c>
      <c r="G47" s="6" t="s">
        <v>211</v>
      </c>
      <c r="H47" s="247">
        <f ca="1">MS_min</f>
        <v>2.8773324269274396</v>
      </c>
      <c r="I47" s="254">
        <f ca="1">MS_max</f>
        <v>3.3235318161248437</v>
      </c>
      <c r="N47" s="75"/>
    </row>
    <row r="48" spans="2:21" x14ac:dyDescent="0.25">
      <c r="B48" s="74"/>
      <c r="D48" s="276" t="s">
        <v>146</v>
      </c>
      <c r="E48" s="244">
        <f>Q_ail</f>
        <v>4</v>
      </c>
      <c r="F48" s="274" t="s">
        <v>207</v>
      </c>
      <c r="G48" s="274" t="s">
        <v>212</v>
      </c>
      <c r="H48" s="256">
        <f ca="1">MS_Cn_min</f>
        <v>63.885637881031379</v>
      </c>
      <c r="I48" s="264">
        <f ca="1">MS_Cn_max</f>
        <v>73.792637967025129</v>
      </c>
      <c r="N48" s="75"/>
    </row>
    <row r="49" spans="2:14" x14ac:dyDescent="0.25">
      <c r="B49" s="74"/>
      <c r="D49" s="276" t="s">
        <v>149</v>
      </c>
      <c r="E49" s="244">
        <f ca="1">XpropuRef-Long_propu</f>
        <v>1269</v>
      </c>
      <c r="N49" s="75"/>
    </row>
    <row r="50" spans="2:14" x14ac:dyDescent="0.25">
      <c r="B50" s="74"/>
      <c r="D50" s="276" t="s">
        <v>147</v>
      </c>
      <c r="E50" s="272" t="str">
        <f>Forme_ogive</f>
        <v>Ogivale (pointue)</v>
      </c>
      <c r="F50" s="273" t="s">
        <v>184</v>
      </c>
      <c r="G50" s="275" t="s">
        <v>5</v>
      </c>
      <c r="H50" s="246">
        <f>Cx</f>
        <v>0.5</v>
      </c>
      <c r="I50" s="265"/>
      <c r="J50" s="266"/>
      <c r="N50" s="75"/>
    </row>
    <row r="51" spans="2:14" x14ac:dyDescent="0.25">
      <c r="B51" s="74"/>
      <c r="D51" s="276" t="s">
        <v>143</v>
      </c>
      <c r="E51" s="244">
        <f>Long_tot</f>
        <v>1755</v>
      </c>
      <c r="G51" s="276" t="s">
        <v>213</v>
      </c>
      <c r="H51" s="6">
        <f>Sref</f>
        <v>9.1339816339744834E-3</v>
      </c>
      <c r="J51" s="267"/>
      <c r="N51" s="75"/>
    </row>
    <row r="52" spans="2:14" x14ac:dyDescent="0.25">
      <c r="B52" s="74"/>
      <c r="D52" s="276" t="s">
        <v>197</v>
      </c>
      <c r="E52" s="244">
        <f>MAX(D_ref,D_ail,D_og,(RIGHT(Nb_diam,1)=",")*MAX(D1j,D1r,D2j,D2r))</f>
        <v>100</v>
      </c>
      <c r="G52" s="276" t="s">
        <v>214</v>
      </c>
      <c r="H52" s="6">
        <f>Beta_rampe</f>
        <v>80</v>
      </c>
      <c r="I52" s="6">
        <v>80</v>
      </c>
      <c r="J52" s="244">
        <v>90</v>
      </c>
      <c r="N52" s="75"/>
    </row>
    <row r="53" spans="2:14" x14ac:dyDescent="0.25">
      <c r="B53" s="74"/>
      <c r="D53" s="277" t="s">
        <v>198</v>
      </c>
      <c r="E53" s="260">
        <f>E_ail*2+D_ail</f>
        <v>420</v>
      </c>
      <c r="G53" s="278" t="s">
        <v>216</v>
      </c>
      <c r="H53" s="247">
        <f ca="1">Temps_culmi</f>
        <v>21.399999999999974</v>
      </c>
      <c r="I53" s="259"/>
      <c r="J53" s="268"/>
      <c r="N53" s="75"/>
    </row>
    <row r="54" spans="2:14" x14ac:dyDescent="0.25">
      <c r="B54" s="74"/>
      <c r="G54" s="278" t="s">
        <v>217</v>
      </c>
      <c r="H54" s="242">
        <f ca="1">Altitude_culmi</f>
        <v>2136.2366360495694</v>
      </c>
      <c r="I54" s="259"/>
      <c r="J54" s="268"/>
      <c r="N54" s="75"/>
    </row>
    <row r="55" spans="2:14" x14ac:dyDescent="0.25">
      <c r="B55" s="74"/>
      <c r="C55" s="275" t="s">
        <v>234</v>
      </c>
      <c r="D55" s="249" t="s">
        <v>61</v>
      </c>
      <c r="E55" s="243">
        <f>Long_tot</f>
        <v>1755</v>
      </c>
      <c r="G55" s="278" t="s">
        <v>218</v>
      </c>
      <c r="H55" s="248">
        <f ca="1">Vit_culmi</f>
        <v>39.246621783777002</v>
      </c>
      <c r="I55" s="259"/>
      <c r="J55" s="268"/>
      <c r="N55" s="75"/>
    </row>
    <row r="56" spans="2:14" x14ac:dyDescent="0.25">
      <c r="B56" s="74"/>
      <c r="C56" s="276"/>
      <c r="D56" s="2" t="s">
        <v>220</v>
      </c>
      <c r="E56" s="244">
        <f>MAX(D_ref,D_ail,D_og,(RIGHT(Nb_diam,1)=",")*MAX(D1j,D1r,D2j,D2r))</f>
        <v>100</v>
      </c>
      <c r="G56" s="278" t="s">
        <v>134</v>
      </c>
      <c r="H56" s="242">
        <f ca="1">Portee_balistique</f>
        <v>1638.9749615397848</v>
      </c>
      <c r="I56" s="259"/>
      <c r="J56" s="268"/>
      <c r="N56" s="75"/>
    </row>
    <row r="57" spans="2:14" x14ac:dyDescent="0.25">
      <c r="B57" s="74"/>
      <c r="C57" s="276"/>
      <c r="D57" s="2" t="s">
        <v>221</v>
      </c>
      <c r="E57" s="244">
        <f>E_ail*2+D_ail</f>
        <v>420</v>
      </c>
      <c r="G57" s="278" t="s">
        <v>215</v>
      </c>
      <c r="H57" s="242">
        <f ca="1">T_balistique</f>
        <v>43.90000000000029</v>
      </c>
      <c r="I57" s="259"/>
      <c r="J57" s="268"/>
      <c r="N57" s="75"/>
    </row>
    <row r="58" spans="2:14" x14ac:dyDescent="0.25">
      <c r="B58" s="74"/>
      <c r="C58" s="276"/>
      <c r="D58" s="2" t="s">
        <v>222</v>
      </c>
      <c r="E58" s="244">
        <f ca="1">MassePlein</f>
        <v>14.282999999999998</v>
      </c>
      <c r="G58" s="278" t="s">
        <v>138</v>
      </c>
      <c r="H58" s="248">
        <f ca="1">Vit_max</f>
        <v>217.01781453168348</v>
      </c>
      <c r="I58" s="259"/>
      <c r="J58" s="268"/>
      <c r="N58" s="75"/>
    </row>
    <row r="59" spans="2:14" x14ac:dyDescent="0.25">
      <c r="B59" s="74"/>
      <c r="C59" s="277" t="s">
        <v>235</v>
      </c>
      <c r="D59" s="255" t="s">
        <v>146</v>
      </c>
      <c r="E59" s="260">
        <f>Q_ail</f>
        <v>4</v>
      </c>
      <c r="G59" s="278" t="s">
        <v>137</v>
      </c>
      <c r="H59" s="242">
        <f ca="1">Acc_max</f>
        <v>80.150922596350284</v>
      </c>
      <c r="I59" s="259"/>
      <c r="J59" s="268"/>
      <c r="N59" s="75"/>
    </row>
    <row r="60" spans="2:14" x14ac:dyDescent="0.25">
      <c r="B60" s="74"/>
      <c r="C60" s="12"/>
      <c r="G60" s="269" t="s">
        <v>223</v>
      </c>
      <c r="H60" s="270"/>
      <c r="I60" s="270"/>
      <c r="J60" s="271"/>
      <c r="N60" s="75"/>
    </row>
    <row r="61" spans="2:14" x14ac:dyDescent="0.25">
      <c r="B61" s="74"/>
      <c r="C61" s="275"/>
      <c r="D61" s="249"/>
      <c r="E61" s="246" t="s">
        <v>227</v>
      </c>
      <c r="F61" s="243" t="s">
        <v>228</v>
      </c>
      <c r="G61" s="2"/>
      <c r="H61" s="2"/>
      <c r="I61" s="2"/>
      <c r="J61" s="2"/>
      <c r="K61" s="2"/>
      <c r="N61" s="75"/>
    </row>
    <row r="62" spans="2:14" x14ac:dyDescent="0.25">
      <c r="B62" s="74"/>
      <c r="C62" s="276" t="s">
        <v>236</v>
      </c>
      <c r="D62" s="2" t="s">
        <v>226</v>
      </c>
      <c r="E62" s="242">
        <f ca="1">2*Acc_max*MassePlein</f>
        <v>2289.5912548873421</v>
      </c>
      <c r="F62" s="280">
        <f ca="1">E62/9.81</f>
        <v>233.39360396405118</v>
      </c>
      <c r="H62" s="2"/>
      <c r="I62" s="2"/>
      <c r="J62" s="2"/>
      <c r="K62" s="2"/>
      <c r="N62" s="75"/>
    </row>
    <row r="63" spans="2:14" x14ac:dyDescent="0.25">
      <c r="B63" s="74"/>
      <c r="C63" s="276"/>
      <c r="D63" s="2" t="s">
        <v>224</v>
      </c>
      <c r="E63" s="242">
        <f ca="1">2*Acc_max*Masse_ail</f>
        <v>18.979738470815747</v>
      </c>
      <c r="F63" s="248">
        <f ca="1">E63/9.81</f>
        <v>1.9347337890739802</v>
      </c>
      <c r="G63" s="246" t="s">
        <v>230</v>
      </c>
      <c r="H63" s="288">
        <f>S_ail*(ep_ail/1000)*2000</f>
        <v>0.11840000000000001</v>
      </c>
      <c r="I63" s="2"/>
      <c r="J63" s="2"/>
      <c r="K63" s="2"/>
      <c r="N63" s="75"/>
    </row>
    <row r="64" spans="2:14" x14ac:dyDescent="0.25">
      <c r="B64" s="74"/>
      <c r="C64" s="277"/>
      <c r="D64" s="255" t="s">
        <v>225</v>
      </c>
      <c r="E64" s="263">
        <f ca="1">0.104*S_ail*Vit_max^2</f>
        <v>144.9825792473346</v>
      </c>
      <c r="F64" s="281">
        <f ca="1">E64/9.81</f>
        <v>14.779060065987217</v>
      </c>
      <c r="G64" s="274" t="s">
        <v>229</v>
      </c>
      <c r="H64" s="289">
        <f>(E_ail*(m_ail+n_ail)/2)/10^6</f>
        <v>2.9600000000000001E-2</v>
      </c>
      <c r="I64" s="2"/>
      <c r="J64" s="2"/>
      <c r="K64" s="2"/>
      <c r="N64" s="75"/>
    </row>
    <row r="65" spans="2:14" x14ac:dyDescent="0.25">
      <c r="B65" s="74"/>
      <c r="C65" s="282" t="s">
        <v>243</v>
      </c>
      <c r="D65" s="285" t="s">
        <v>241</v>
      </c>
      <c r="E65" s="286">
        <f ca="1">2*Acc_max*H65</f>
        <v>1144.795627443671</v>
      </c>
      <c r="F65" s="286">
        <f ca="1">E65/9.81</f>
        <v>116.69680198202559</v>
      </c>
      <c r="G65" s="287" t="s">
        <v>242</v>
      </c>
      <c r="H65" s="279">
        <f ca="1">E58/2</f>
        <v>7.1414999999999988</v>
      </c>
      <c r="I65" s="2"/>
      <c r="J65" s="2"/>
      <c r="K65" s="2"/>
      <c r="N65" s="75"/>
    </row>
    <row r="66" spans="2:14" x14ac:dyDescent="0.25">
      <c r="B66" s="74"/>
      <c r="C66" s="6"/>
      <c r="D66" s="2"/>
      <c r="E66" s="2"/>
      <c r="F66" s="2"/>
      <c r="G66" s="2"/>
      <c r="H66" s="2"/>
      <c r="I66" s="2"/>
      <c r="J66" s="2"/>
      <c r="K66" s="2"/>
      <c r="N66" s="75"/>
    </row>
    <row r="67" spans="2:14" x14ac:dyDescent="0.25">
      <c r="B67" s="74"/>
      <c r="F67" s="275" t="s">
        <v>233</v>
      </c>
      <c r="G67" s="249" t="s">
        <v>231</v>
      </c>
      <c r="H67" s="250">
        <f>T_para</f>
        <v>21</v>
      </c>
      <c r="I67" s="251">
        <f ca="1">Temps_culmi</f>
        <v>21.399999999999974</v>
      </c>
      <c r="J67" s="2"/>
      <c r="K67" s="2"/>
      <c r="N67" s="75"/>
    </row>
    <row r="68" spans="2:14" x14ac:dyDescent="0.25">
      <c r="B68" s="74"/>
      <c r="C68" s="6"/>
      <c r="D68" s="2"/>
      <c r="E68" s="2"/>
      <c r="F68" s="275" t="s">
        <v>232</v>
      </c>
      <c r="G68" s="249" t="s">
        <v>130</v>
      </c>
      <c r="H68" s="250">
        <f ca="1">V_para</f>
        <v>7.9941964101280014</v>
      </c>
      <c r="I68" s="251">
        <f>V_satellite</f>
        <v>12.655562623057198</v>
      </c>
      <c r="J68" s="2"/>
      <c r="K68" s="2"/>
      <c r="N68" s="75"/>
    </row>
    <row r="69" spans="2:14" x14ac:dyDescent="0.25">
      <c r="B69" s="74"/>
      <c r="C69" s="6"/>
      <c r="D69" s="2"/>
      <c r="E69" s="2"/>
      <c r="F69" s="276"/>
      <c r="G69" s="2" t="s">
        <v>238</v>
      </c>
      <c r="H69" s="247">
        <f>S_para</f>
        <v>3.1101767270538949</v>
      </c>
      <c r="I69" s="253">
        <f>S_satellite</f>
        <v>0.1</v>
      </c>
      <c r="J69" s="2"/>
      <c r="K69" s="2"/>
      <c r="N69" s="75"/>
    </row>
    <row r="70" spans="2:14" x14ac:dyDescent="0.25">
      <c r="B70" s="74"/>
      <c r="C70" s="226"/>
      <c r="D70" s="2"/>
      <c r="F70" s="276"/>
      <c r="G70" s="2" t="s">
        <v>237</v>
      </c>
      <c r="H70" s="247">
        <f ca="1">V_ouverture</f>
        <v>39.576690593252067</v>
      </c>
      <c r="I70" s="253">
        <f ca="1">V_ouv_sat</f>
        <v>191.76398311969061</v>
      </c>
      <c r="N70" s="75"/>
    </row>
    <row r="71" spans="2:14" x14ac:dyDescent="0.25">
      <c r="B71" s="74"/>
      <c r="C71" s="226"/>
      <c r="F71" s="276"/>
      <c r="G71" s="2" t="s">
        <v>202</v>
      </c>
      <c r="H71" s="247">
        <f ca="1">m_vide</f>
        <v>12.409999999999998</v>
      </c>
      <c r="I71" s="253">
        <f>m_satellite</f>
        <v>1</v>
      </c>
      <c r="N71" s="75"/>
    </row>
    <row r="72" spans="2:14" x14ac:dyDescent="0.25">
      <c r="B72" s="74"/>
      <c r="C72" s="226"/>
      <c r="F72" s="276"/>
      <c r="G72" s="2" t="s">
        <v>239</v>
      </c>
      <c r="H72" s="283">
        <f ca="1">1/2*Rho_moyen*S_para*V_ouverture^2</f>
        <v>2983.802761891789</v>
      </c>
      <c r="I72" s="284">
        <f ca="1">1/2*Rho_moyen*S_satellite*V_ouv_sat^2</f>
        <v>2252.3722948431505</v>
      </c>
      <c r="N72" s="75"/>
    </row>
    <row r="73" spans="2:14" x14ac:dyDescent="0.25">
      <c r="B73" s="74"/>
      <c r="D73" s="2"/>
      <c r="F73" s="277"/>
      <c r="G73" s="255" t="s">
        <v>240</v>
      </c>
      <c r="H73" s="256">
        <f ca="1">H72/9.81</f>
        <v>304.15930294513646</v>
      </c>
      <c r="I73" s="257">
        <f ca="1">I72/9.81</f>
        <v>229.59962230817027</v>
      </c>
      <c r="N73" s="75"/>
    </row>
    <row r="74" spans="2:14" ht="13.8" thickBot="1" x14ac:dyDescent="0.3">
      <c r="B74" s="77"/>
      <c r="C74" s="78"/>
      <c r="D74" s="78"/>
      <c r="E74" s="78"/>
      <c r="F74" s="78"/>
      <c r="G74" s="78"/>
      <c r="H74" s="78"/>
      <c r="I74" s="78"/>
      <c r="J74" s="78"/>
      <c r="K74" s="78"/>
      <c r="L74" s="78"/>
      <c r="M74" s="78"/>
      <c r="N74" s="79"/>
    </row>
    <row r="76" spans="2:14" ht="13.8" thickBot="1" x14ac:dyDescent="0.3"/>
    <row r="77" spans="2:14" x14ac:dyDescent="0.25">
      <c r="B77" s="71"/>
      <c r="C77" s="72"/>
      <c r="D77" s="72"/>
      <c r="E77" s="72"/>
      <c r="F77" s="72"/>
      <c r="G77" s="72"/>
      <c r="H77" s="72"/>
      <c r="I77" s="72"/>
      <c r="J77" s="72"/>
      <c r="K77" s="72"/>
      <c r="L77" s="72"/>
      <c r="M77" s="72"/>
      <c r="N77" s="73"/>
    </row>
    <row r="78" spans="2:14" x14ac:dyDescent="0.25">
      <c r="B78" s="74"/>
      <c r="D78" s="2" t="s">
        <v>335</v>
      </c>
      <c r="N78" s="75"/>
    </row>
    <row r="79" spans="2:14" ht="12.75" customHeight="1" x14ac:dyDescent="0.3">
      <c r="B79" s="74"/>
      <c r="E79" s="48"/>
      <c r="F79" s="48"/>
      <c r="G79" s="435" t="s">
        <v>341</v>
      </c>
      <c r="I79" s="448"/>
      <c r="J79" s="48"/>
      <c r="K79" s="48"/>
      <c r="N79" s="75"/>
    </row>
    <row r="80" spans="2:14" x14ac:dyDescent="0.25">
      <c r="B80" s="74"/>
      <c r="C80" s="275" t="s">
        <v>336</v>
      </c>
      <c r="D80" s="243" t="str">
        <f>Nom</f>
        <v>Indra</v>
      </c>
      <c r="E80" s="48"/>
      <c r="F80" s="48"/>
      <c r="G80" s="48"/>
      <c r="H80" s="48"/>
      <c r="I80" s="48"/>
      <c r="J80" s="48"/>
      <c r="K80" s="48"/>
      <c r="N80" s="75"/>
    </row>
    <row r="81" spans="2:14" ht="13.8" thickBot="1" x14ac:dyDescent="0.3">
      <c r="B81" s="74"/>
      <c r="C81" s="276" t="s">
        <v>4</v>
      </c>
      <c r="D81" s="244" t="str">
        <f>Club</f>
        <v>Space'Tech Orléans</v>
      </c>
      <c r="E81" s="48"/>
      <c r="F81" s="48"/>
      <c r="G81" s="48"/>
      <c r="H81" s="48"/>
      <c r="I81" s="48"/>
      <c r="J81" s="48"/>
      <c r="K81" s="48"/>
      <c r="N81" s="75"/>
    </row>
    <row r="82" spans="2:14" ht="13.8" thickBot="1" x14ac:dyDescent="0.3">
      <c r="B82" s="74"/>
      <c r="C82" s="432" t="s">
        <v>337</v>
      </c>
      <c r="D82" s="244" t="s">
        <v>14</v>
      </c>
      <c r="E82" s="273" t="s">
        <v>342</v>
      </c>
      <c r="F82" s="441">
        <f>Long_ogive</f>
        <v>250</v>
      </c>
      <c r="G82" s="48"/>
      <c r="H82" s="48"/>
      <c r="I82" s="48"/>
      <c r="J82" s="48"/>
      <c r="K82" s="48"/>
      <c r="N82" s="75"/>
    </row>
    <row r="83" spans="2:14" x14ac:dyDescent="0.25">
      <c r="B83" s="74"/>
      <c r="C83" s="277" t="s">
        <v>338</v>
      </c>
      <c r="D83" s="433">
        <f ca="1">TODAY()</f>
        <v>44910</v>
      </c>
      <c r="E83" s="48"/>
      <c r="F83" s="436"/>
      <c r="G83" s="48"/>
      <c r="H83" s="48"/>
      <c r="I83" s="48"/>
      <c r="J83" s="48"/>
      <c r="K83" s="48"/>
      <c r="N83" s="75"/>
    </row>
    <row r="84" spans="2:14" ht="13.8" thickBot="1" x14ac:dyDescent="0.3">
      <c r="B84" s="74"/>
      <c r="E84" s="48"/>
      <c r="F84" s="436"/>
      <c r="G84" s="48"/>
      <c r="H84" s="48"/>
      <c r="I84" s="48"/>
      <c r="J84" s="440" t="str">
        <f>IF(RIGHT(Nb_diam,1)=",", "", X_j)</f>
        <v/>
      </c>
      <c r="K84" s="48"/>
      <c r="N84" s="75"/>
    </row>
    <row r="85" spans="2:14" ht="13.8" thickBot="1" x14ac:dyDescent="0.3">
      <c r="B85" s="74"/>
      <c r="C85" s="275" t="s">
        <v>339</v>
      </c>
      <c r="D85" s="243" t="str">
        <f>Propu</f>
        <v>Orignal (Pro75-3G C)</v>
      </c>
      <c r="E85" s="273" t="s">
        <v>343</v>
      </c>
      <c r="F85" s="441">
        <f>D_og</f>
        <v>100</v>
      </c>
      <c r="G85" s="48"/>
      <c r="H85" s="48"/>
      <c r="I85" s="48"/>
      <c r="J85" s="436"/>
      <c r="K85" s="48"/>
      <c r="N85" s="75"/>
    </row>
    <row r="86" spans="2:14" x14ac:dyDescent="0.25">
      <c r="B86" s="74"/>
      <c r="C86" s="277" t="s">
        <v>340</v>
      </c>
      <c r="D86" s="260" t="s">
        <v>14</v>
      </c>
      <c r="E86" s="48"/>
      <c r="F86" s="436"/>
      <c r="G86" s="48"/>
      <c r="H86" s="48"/>
      <c r="I86" s="48"/>
      <c r="J86" s="440" t="str">
        <f>IF(RIGHT(Nb_diam,1)=",", "", X_r)</f>
        <v/>
      </c>
      <c r="K86" s="48"/>
      <c r="N86" s="75"/>
    </row>
    <row r="87" spans="2:14" x14ac:dyDescent="0.25">
      <c r="B87" s="74"/>
      <c r="E87" s="48"/>
      <c r="F87" s="436"/>
      <c r="G87" s="48"/>
      <c r="H87" s="48"/>
      <c r="I87" s="48"/>
      <c r="J87" s="436"/>
      <c r="K87" s="48"/>
      <c r="N87" s="75"/>
    </row>
    <row r="88" spans="2:14" x14ac:dyDescent="0.25">
      <c r="B88" s="74"/>
      <c r="E88" s="48"/>
      <c r="F88" s="436"/>
      <c r="G88" s="48"/>
      <c r="H88" s="48"/>
      <c r="I88" s="48"/>
      <c r="J88" s="440" t="str">
        <f>IF(RIGHT(Nb_diam,1)=",", "", l_j)</f>
        <v/>
      </c>
      <c r="K88" s="48"/>
      <c r="N88" s="75"/>
    </row>
    <row r="89" spans="2:14" ht="13.8" thickBot="1" x14ac:dyDescent="0.3">
      <c r="B89" s="74"/>
      <c r="E89" s="48"/>
      <c r="F89" s="436"/>
      <c r="G89" s="48"/>
      <c r="H89" s="48"/>
      <c r="I89" s="48"/>
      <c r="J89" s="436"/>
      <c r="K89" s="48"/>
      <c r="N89" s="75"/>
    </row>
    <row r="90" spans="2:14" ht="13.8" thickBot="1" x14ac:dyDescent="0.3">
      <c r="B90" s="74"/>
      <c r="E90" s="434" t="s">
        <v>344</v>
      </c>
      <c r="F90" s="440" t="str">
        <f>IF(RIGHT(Nb_diam,1)=",", "", D2j)</f>
        <v/>
      </c>
      <c r="G90" s="48"/>
      <c r="H90" s="48"/>
      <c r="I90" s="48"/>
      <c r="J90" s="441">
        <f>X_ail-m_ail</f>
        <v>1505</v>
      </c>
      <c r="K90" s="2"/>
      <c r="N90" s="75"/>
    </row>
    <row r="91" spans="2:14" x14ac:dyDescent="0.25">
      <c r="B91" s="74"/>
      <c r="E91" s="48"/>
      <c r="F91" s="436"/>
      <c r="G91" s="48"/>
      <c r="H91" s="48"/>
      <c r="I91" s="48"/>
      <c r="J91" s="436"/>
      <c r="K91" s="48"/>
      <c r="N91" s="75"/>
    </row>
    <row r="92" spans="2:14" x14ac:dyDescent="0.25">
      <c r="B92" s="74"/>
      <c r="E92" s="48"/>
      <c r="F92" s="436"/>
      <c r="G92" s="48"/>
      <c r="H92" s="48"/>
      <c r="I92" s="48"/>
      <c r="J92" s="440" t="str">
        <f>IF(RIGHT(Nb_diam,1)=",", "", l_r)</f>
        <v/>
      </c>
      <c r="K92" s="48"/>
      <c r="N92" s="75"/>
    </row>
    <row r="93" spans="2:14" x14ac:dyDescent="0.25">
      <c r="B93" s="74"/>
      <c r="E93" s="48"/>
      <c r="F93" s="436"/>
      <c r="G93" s="48"/>
      <c r="H93" s="48"/>
      <c r="I93" s="48"/>
      <c r="J93" s="436"/>
      <c r="K93" s="48"/>
      <c r="N93" s="75"/>
    </row>
    <row r="94" spans="2:14" x14ac:dyDescent="0.25">
      <c r="B94" s="74"/>
      <c r="E94" s="434" t="s">
        <v>345</v>
      </c>
      <c r="F94" s="440" t="str">
        <f>IF(RIGHT(Nb_diam,1)=",", "", D2r)</f>
        <v/>
      </c>
      <c r="G94" s="48"/>
      <c r="H94" s="48"/>
      <c r="I94" s="48"/>
      <c r="J94" s="436"/>
      <c r="K94" s="48"/>
      <c r="N94" s="75"/>
    </row>
    <row r="95" spans="2:14" x14ac:dyDescent="0.25">
      <c r="B95" s="74"/>
      <c r="E95" s="48"/>
      <c r="F95" s="436"/>
      <c r="G95" s="48"/>
      <c r="H95" s="48"/>
      <c r="I95" s="48"/>
      <c r="J95" s="436"/>
      <c r="K95" s="48"/>
      <c r="N95" s="75"/>
    </row>
    <row r="96" spans="2:14" ht="13.8" thickBot="1" x14ac:dyDescent="0.3">
      <c r="B96" s="74"/>
      <c r="E96" s="48"/>
      <c r="F96" s="436"/>
      <c r="G96" s="48"/>
      <c r="H96" s="48"/>
      <c r="I96" s="48"/>
      <c r="J96" s="436"/>
      <c r="K96" s="48"/>
      <c r="N96" s="75"/>
    </row>
    <row r="97" spans="2:14" ht="13.8" thickBot="1" x14ac:dyDescent="0.3">
      <c r="B97" s="74"/>
      <c r="E97" s="273" t="s">
        <v>346</v>
      </c>
      <c r="F97" s="441">
        <f>m_ail</f>
        <v>250</v>
      </c>
      <c r="G97" s="48"/>
      <c r="H97" s="48"/>
      <c r="I97" s="48"/>
      <c r="J97" s="441">
        <f>p_ail</f>
        <v>200</v>
      </c>
      <c r="K97" s="2"/>
      <c r="N97" s="75"/>
    </row>
    <row r="98" spans="2:14" x14ac:dyDescent="0.25">
      <c r="B98" s="74"/>
      <c r="E98" s="48"/>
      <c r="F98" s="48"/>
      <c r="G98" s="48"/>
      <c r="H98" s="48"/>
      <c r="I98" s="48"/>
      <c r="J98" s="436"/>
      <c r="K98" s="48"/>
      <c r="N98" s="75"/>
    </row>
    <row r="99" spans="2:14" x14ac:dyDescent="0.25">
      <c r="B99" s="74"/>
      <c r="E99" s="48"/>
      <c r="F99" s="48"/>
      <c r="G99" s="48"/>
      <c r="H99" s="48"/>
      <c r="I99" s="48"/>
      <c r="J99" s="436"/>
      <c r="K99" s="48"/>
      <c r="N99" s="75"/>
    </row>
    <row r="100" spans="2:14" ht="13.8" thickBot="1" x14ac:dyDescent="0.3">
      <c r="B100" s="74"/>
      <c r="D100" s="429" t="s">
        <v>348</v>
      </c>
      <c r="E100" s="246">
        <f>Q_ail</f>
        <v>4</v>
      </c>
      <c r="F100" s="430"/>
      <c r="G100" s="48"/>
      <c r="H100" s="48"/>
      <c r="I100" s="48"/>
      <c r="J100" s="436"/>
      <c r="K100" s="48"/>
      <c r="N100" s="75"/>
    </row>
    <row r="101" spans="2:14" ht="13.8" thickBot="1" x14ac:dyDescent="0.3">
      <c r="B101" s="74"/>
      <c r="D101" s="437" t="s">
        <v>352</v>
      </c>
      <c r="E101" s="6">
        <f ca="1">XpropuRef-Long_propu</f>
        <v>1269</v>
      </c>
      <c r="F101" s="252"/>
      <c r="G101" s="48"/>
      <c r="H101" s="48"/>
      <c r="I101" s="48"/>
      <c r="J101" s="441">
        <f>n_ail</f>
        <v>120</v>
      </c>
      <c r="K101" s="2"/>
      <c r="N101" s="75"/>
    </row>
    <row r="102" spans="2:14" x14ac:dyDescent="0.25">
      <c r="B102" s="74"/>
      <c r="D102" s="437" t="s">
        <v>349</v>
      </c>
      <c r="E102" s="6">
        <f>IF(LEFT(Forme_ogive,4)="Ogiv",1,0)</f>
        <v>1</v>
      </c>
      <c r="F102" s="252" t="s">
        <v>350</v>
      </c>
      <c r="G102" s="48"/>
      <c r="H102" s="48"/>
      <c r="I102" s="48"/>
      <c r="J102" s="436"/>
      <c r="K102" s="48"/>
      <c r="N102" s="75"/>
    </row>
    <row r="103" spans="2:14" x14ac:dyDescent="0.25">
      <c r="B103" s="74"/>
      <c r="D103" s="437"/>
      <c r="E103" s="6">
        <f>IF(LEFT(Forme_ogive,3)="Con",1,0)</f>
        <v>0</v>
      </c>
      <c r="F103" s="252" t="s">
        <v>160</v>
      </c>
      <c r="G103" s="48"/>
      <c r="H103" s="48"/>
      <c r="I103" s="48"/>
      <c r="J103" s="436"/>
      <c r="K103" s="48"/>
      <c r="N103" s="75"/>
    </row>
    <row r="104" spans="2:14" ht="13.8" thickBot="1" x14ac:dyDescent="0.3">
      <c r="B104" s="74"/>
      <c r="D104" s="431"/>
      <c r="E104" s="274">
        <f>IF(LEFT(Forme_ogive,5)="Parab",1,0)</f>
        <v>0</v>
      </c>
      <c r="F104" s="289" t="s">
        <v>351</v>
      </c>
      <c r="G104" s="48"/>
      <c r="H104" s="48"/>
      <c r="I104" s="48"/>
      <c r="J104" s="12" t="s">
        <v>347</v>
      </c>
      <c r="K104" s="48"/>
      <c r="N104" s="75"/>
    </row>
    <row r="105" spans="2:14" ht="13.8" thickBot="1" x14ac:dyDescent="0.3">
      <c r="B105" s="74"/>
      <c r="D105" s="2"/>
      <c r="E105" s="2"/>
      <c r="F105" s="2"/>
      <c r="G105" s="273"/>
      <c r="H105" s="441">
        <f>E_ail</f>
        <v>160</v>
      </c>
      <c r="I105" s="273"/>
      <c r="J105" s="441">
        <f>ep_ail</f>
        <v>2</v>
      </c>
      <c r="K105" s="48"/>
      <c r="N105" s="75"/>
    </row>
    <row r="106" spans="2:14" x14ac:dyDescent="0.25">
      <c r="B106" s="74"/>
      <c r="D106" s="429"/>
      <c r="E106" s="246" t="s">
        <v>356</v>
      </c>
      <c r="F106" s="243" t="s">
        <v>355</v>
      </c>
      <c r="N106" s="75"/>
    </row>
    <row r="107" spans="2:14" x14ac:dyDescent="0.25">
      <c r="B107" s="74"/>
      <c r="D107" s="437" t="s">
        <v>353</v>
      </c>
      <c r="E107" s="6">
        <f ca="1">MasseSans</f>
        <v>10.771999999999998</v>
      </c>
      <c r="F107" s="244">
        <f ca="1">MassePlein</f>
        <v>14.282999999999998</v>
      </c>
      <c r="N107" s="75"/>
    </row>
    <row r="108" spans="2:14" x14ac:dyDescent="0.25">
      <c r="B108" s="74"/>
      <c r="D108" s="431" t="s">
        <v>354</v>
      </c>
      <c r="E108" s="274">
        <f>XcgSans</f>
        <v>1120</v>
      </c>
      <c r="F108" s="260">
        <f ca="1">XcgPlein</f>
        <v>1216.3601484282015</v>
      </c>
      <c r="N108" s="75"/>
    </row>
    <row r="109" spans="2:14" x14ac:dyDescent="0.25">
      <c r="B109" s="74"/>
      <c r="N109" s="75"/>
    </row>
    <row r="110" spans="2:14" x14ac:dyDescent="0.25">
      <c r="B110" s="74"/>
      <c r="D110" s="438" t="s">
        <v>357</v>
      </c>
      <c r="E110" s="439">
        <f ca="1">MasseVide</f>
        <v>12.409999999999998</v>
      </c>
      <c r="G110" s="429" t="s">
        <v>358</v>
      </c>
      <c r="H110" s="265"/>
      <c r="I110" s="265"/>
      <c r="J110" s="266"/>
      <c r="N110" s="75"/>
    </row>
    <row r="111" spans="2:14" x14ac:dyDescent="0.25">
      <c r="B111" s="74"/>
      <c r="G111" s="276" t="s">
        <v>214</v>
      </c>
      <c r="H111" s="6">
        <f>Beta_rampe</f>
        <v>80</v>
      </c>
      <c r="I111" s="6">
        <v>80</v>
      </c>
      <c r="J111" s="244">
        <v>90</v>
      </c>
      <c r="N111" s="75"/>
    </row>
    <row r="112" spans="2:14" x14ac:dyDescent="0.25">
      <c r="B112" s="74"/>
      <c r="G112" s="278" t="s">
        <v>216</v>
      </c>
      <c r="H112" s="247">
        <f ca="1">Temps_culmi</f>
        <v>21.399999999999974</v>
      </c>
      <c r="I112" s="259"/>
      <c r="J112" s="268"/>
      <c r="N112" s="75"/>
    </row>
    <row r="113" spans="2:14" ht="12.75" customHeight="1" x14ac:dyDescent="0.3">
      <c r="B113" s="74"/>
      <c r="D113" s="435" t="s">
        <v>359</v>
      </c>
      <c r="E113" s="48"/>
      <c r="G113" s="278" t="s">
        <v>217</v>
      </c>
      <c r="H113" s="242">
        <f ca="1">Altitude_culmi</f>
        <v>2136.2366360495694</v>
      </c>
      <c r="I113" s="259"/>
      <c r="J113" s="268"/>
      <c r="N113" s="75"/>
    </row>
    <row r="114" spans="2:14" ht="12.75" customHeight="1" x14ac:dyDescent="0.3">
      <c r="B114" s="74"/>
      <c r="D114" s="48"/>
      <c r="E114" s="48"/>
      <c r="F114" s="435"/>
      <c r="G114" s="278" t="s">
        <v>218</v>
      </c>
      <c r="H114" s="248">
        <f ca="1">Vit_culmi</f>
        <v>39.246621783777002</v>
      </c>
      <c r="I114" s="259"/>
      <c r="J114" s="268"/>
      <c r="N114" s="75"/>
    </row>
    <row r="115" spans="2:14" x14ac:dyDescent="0.25">
      <c r="B115" s="74"/>
      <c r="C115" s="429" t="s">
        <v>360</v>
      </c>
      <c r="D115" s="249"/>
      <c r="E115" s="446">
        <v>0.1</v>
      </c>
      <c r="G115" s="278" t="s">
        <v>134</v>
      </c>
      <c r="H115" s="242">
        <f ca="1">Portee_balistique</f>
        <v>1638.9749615397848</v>
      </c>
      <c r="I115" s="259"/>
      <c r="J115" s="268"/>
      <c r="N115" s="75"/>
    </row>
    <row r="116" spans="2:14" ht="12.75" customHeight="1" x14ac:dyDescent="0.25">
      <c r="B116" s="74"/>
      <c r="C116" s="431" t="s">
        <v>361</v>
      </c>
      <c r="D116" s="255"/>
      <c r="E116" s="447">
        <f>E_ail*(m_ail+n_ail)/2</f>
        <v>29600</v>
      </c>
      <c r="G116" s="278" t="s">
        <v>138</v>
      </c>
      <c r="H116" s="248">
        <f ca="1">Vit_max</f>
        <v>217.01781453168348</v>
      </c>
      <c r="I116" s="259"/>
      <c r="J116" s="268"/>
      <c r="N116" s="75"/>
    </row>
    <row r="117" spans="2:14" ht="12.75" customHeight="1" x14ac:dyDescent="0.25">
      <c r="B117" s="74"/>
      <c r="D117" s="48"/>
      <c r="E117" s="48"/>
      <c r="F117" s="48"/>
      <c r="G117" s="278" t="s">
        <v>137</v>
      </c>
      <c r="H117" s="242">
        <f ca="1">Acc_max</f>
        <v>80.150922596350284</v>
      </c>
      <c r="I117" s="259"/>
      <c r="J117" s="268"/>
      <c r="N117" s="75"/>
    </row>
    <row r="118" spans="2:14" x14ac:dyDescent="0.25">
      <c r="B118" s="74"/>
      <c r="C118" s="429" t="s">
        <v>362</v>
      </c>
      <c r="D118" s="249"/>
      <c r="E118" s="457"/>
      <c r="F118" s="458">
        <f>J90/100</f>
        <v>15.05</v>
      </c>
      <c r="G118" s="276" t="s">
        <v>5</v>
      </c>
      <c r="H118" s="6">
        <f>Cx</f>
        <v>0.5</v>
      </c>
      <c r="I118" s="259"/>
      <c r="J118" s="268"/>
      <c r="N118" s="75"/>
    </row>
    <row r="119" spans="2:14" x14ac:dyDescent="0.25">
      <c r="B119" s="74"/>
      <c r="C119" s="437" t="s">
        <v>363</v>
      </c>
      <c r="D119" s="2"/>
      <c r="E119" s="459">
        <f ca="1">2*Acc_max*MasseSans</f>
        <v>1726.7714764157702</v>
      </c>
      <c r="F119" s="460">
        <f ca="1">E119/g</f>
        <v>176.02155722892661</v>
      </c>
      <c r="G119" s="269" t="s">
        <v>223</v>
      </c>
      <c r="H119" s="270"/>
      <c r="I119" s="270"/>
      <c r="J119" s="271"/>
      <c r="N119" s="75"/>
    </row>
    <row r="120" spans="2:14" x14ac:dyDescent="0.25">
      <c r="B120" s="74"/>
      <c r="C120" s="437" t="s">
        <v>364</v>
      </c>
      <c r="D120" s="2"/>
      <c r="E120" s="459">
        <f ca="1">2*Acc_max*E115</f>
        <v>16.030184519270058</v>
      </c>
      <c r="F120" s="460">
        <f ca="1">E120/g</f>
        <v>1.6340657002314023</v>
      </c>
      <c r="N120" s="75"/>
    </row>
    <row r="121" spans="2:14" x14ac:dyDescent="0.25">
      <c r="B121" s="74"/>
      <c r="C121" s="431" t="s">
        <v>365</v>
      </c>
      <c r="D121" s="255"/>
      <c r="E121" s="452">
        <f ca="1">0.104*E116/1000000*Vit_max^2</f>
        <v>144.9825792473346</v>
      </c>
      <c r="F121" s="453">
        <f ca="1">E121/g</f>
        <v>14.779060065987217</v>
      </c>
      <c r="G121" s="48"/>
      <c r="H121" s="48"/>
      <c r="I121" s="48"/>
      <c r="J121" s="48"/>
      <c r="N121" s="75"/>
    </row>
    <row r="122" spans="2:14" ht="12.75" customHeight="1" x14ac:dyDescent="0.25">
      <c r="B122" s="74"/>
      <c r="H122" s="48"/>
      <c r="I122" s="48"/>
      <c r="J122" s="48"/>
      <c r="N122" s="75"/>
    </row>
    <row r="123" spans="2:14" ht="12.75" customHeight="1" x14ac:dyDescent="0.3">
      <c r="B123" s="74"/>
      <c r="G123" s="435"/>
      <c r="H123" s="435"/>
      <c r="I123" s="435"/>
      <c r="J123" s="48"/>
      <c r="N123" s="75"/>
    </row>
    <row r="124" spans="2:14" ht="12.75" customHeight="1" x14ac:dyDescent="0.3">
      <c r="B124" s="74"/>
      <c r="C124" s="48"/>
      <c r="D124" s="435" t="s">
        <v>366</v>
      </c>
      <c r="E124" s="448"/>
      <c r="J124" s="48"/>
      <c r="K124" s="48"/>
      <c r="N124" s="75"/>
    </row>
    <row r="125" spans="2:14" x14ac:dyDescent="0.25">
      <c r="B125" s="74"/>
      <c r="C125" s="445" t="s">
        <v>367</v>
      </c>
      <c r="J125" s="48"/>
      <c r="K125" s="48"/>
      <c r="N125" s="75"/>
    </row>
    <row r="126" spans="2:14" x14ac:dyDescent="0.25">
      <c r="B126" s="74"/>
      <c r="C126" s="429" t="s">
        <v>368</v>
      </c>
      <c r="D126" s="249"/>
      <c r="E126" s="449">
        <v>4</v>
      </c>
      <c r="G126" s="48"/>
      <c r="J126" s="48"/>
      <c r="N126" s="75"/>
    </row>
    <row r="127" spans="2:14" x14ac:dyDescent="0.25">
      <c r="B127" s="74"/>
      <c r="C127" s="431" t="s">
        <v>369</v>
      </c>
      <c r="D127" s="255"/>
      <c r="E127" s="456">
        <f>S_para</f>
        <v>3.1101767270538949</v>
      </c>
      <c r="G127" s="48"/>
      <c r="J127" s="48"/>
      <c r="N127" s="75"/>
    </row>
    <row r="128" spans="2:14" x14ac:dyDescent="0.25">
      <c r="B128" s="74"/>
      <c r="C128" s="671" t="s">
        <v>370</v>
      </c>
      <c r="D128" s="672"/>
      <c r="E128" s="450">
        <f ca="1">0.5*Rho_moyen*S_para*Vit_culmi^2</f>
        <v>2934.2405901530501</v>
      </c>
      <c r="F128" s="451">
        <f ca="1">E128/g</f>
        <v>299.10709379745668</v>
      </c>
      <c r="H128" s="48"/>
      <c r="I128" s="48"/>
      <c r="J128" s="48"/>
      <c r="K128" s="48"/>
      <c r="N128" s="75"/>
    </row>
    <row r="129" spans="2:14" x14ac:dyDescent="0.25">
      <c r="B129" s="74"/>
      <c r="C129" s="669" t="s">
        <v>371</v>
      </c>
      <c r="D129" s="670"/>
      <c r="E129" s="452">
        <f ca="1">E128/E126*2</f>
        <v>1467.1202950765251</v>
      </c>
      <c r="F129" s="453">
        <f ca="1">E129/g</f>
        <v>149.55354689872834</v>
      </c>
      <c r="H129" s="48"/>
      <c r="I129" s="48"/>
      <c r="J129" s="48"/>
      <c r="K129" s="48"/>
      <c r="N129" s="75"/>
    </row>
    <row r="130" spans="2:14" x14ac:dyDescent="0.25">
      <c r="B130" s="74"/>
      <c r="C130" s="47"/>
      <c r="D130" s="47"/>
      <c r="E130" s="443"/>
      <c r="F130" s="444"/>
      <c r="H130" s="48"/>
      <c r="I130" s="48"/>
      <c r="J130" s="48"/>
      <c r="K130" s="48"/>
      <c r="N130" s="75"/>
    </row>
    <row r="131" spans="2:14" x14ac:dyDescent="0.25">
      <c r="B131" s="74"/>
      <c r="C131" s="445" t="s">
        <v>372</v>
      </c>
      <c r="D131" s="48"/>
      <c r="E131" s="48"/>
      <c r="F131" s="48"/>
      <c r="G131" s="48"/>
      <c r="H131" s="48"/>
      <c r="I131" s="48"/>
      <c r="J131" s="48"/>
      <c r="K131" s="48"/>
      <c r="N131" s="75"/>
    </row>
    <row r="132" spans="2:14" x14ac:dyDescent="0.25">
      <c r="B132" s="74"/>
      <c r="C132" s="671" t="s">
        <v>373</v>
      </c>
      <c r="D132" s="672"/>
      <c r="E132" s="454">
        <v>1</v>
      </c>
      <c r="F132" s="48"/>
      <c r="G132" s="48"/>
      <c r="H132" s="48"/>
      <c r="I132" s="48"/>
      <c r="J132" s="442"/>
      <c r="K132" s="48"/>
      <c r="N132" s="75"/>
    </row>
    <row r="133" spans="2:14" x14ac:dyDescent="0.25">
      <c r="B133" s="74"/>
      <c r="C133" s="669" t="s">
        <v>374</v>
      </c>
      <c r="D133" s="670"/>
      <c r="E133" s="455">
        <f ca="1">2*E132*Acc_max/g</f>
        <v>16.340657002314021</v>
      </c>
      <c r="F133" s="48"/>
      <c r="G133" s="48"/>
      <c r="H133" s="48"/>
      <c r="I133" s="48"/>
      <c r="J133" s="48"/>
      <c r="K133" s="48"/>
      <c r="N133" s="75"/>
    </row>
    <row r="134" spans="2:14" ht="13.8" thickBot="1" x14ac:dyDescent="0.3">
      <c r="B134" s="77"/>
      <c r="C134" s="461"/>
      <c r="D134" s="461"/>
      <c r="E134" s="461"/>
      <c r="F134" s="461"/>
      <c r="G134" s="461"/>
      <c r="H134" s="461"/>
      <c r="I134" s="461"/>
      <c r="J134" s="461"/>
      <c r="K134" s="461"/>
      <c r="L134" s="78"/>
      <c r="M134" s="78"/>
      <c r="N134" s="79"/>
    </row>
  </sheetData>
  <sheetProtection password="C6AC" sheet="1"/>
  <mergeCells count="22">
    <mergeCell ref="C133:D133"/>
    <mergeCell ref="C128:D128"/>
    <mergeCell ref="C129:D129"/>
    <mergeCell ref="C132:D132"/>
    <mergeCell ref="H44:I44"/>
    <mergeCell ref="H45:I45"/>
    <mergeCell ref="H46:I46"/>
    <mergeCell ref="E31:G31"/>
    <mergeCell ref="M29:M30"/>
    <mergeCell ref="H30:I30"/>
    <mergeCell ref="L29:L30"/>
    <mergeCell ref="H31:I31"/>
    <mergeCell ref="H11:I11"/>
    <mergeCell ref="H12:I12"/>
    <mergeCell ref="H13:I13"/>
    <mergeCell ref="H29:K29"/>
    <mergeCell ref="C29:C30"/>
    <mergeCell ref="D29:D30"/>
    <mergeCell ref="H17:I17"/>
    <mergeCell ref="H18:I18"/>
    <mergeCell ref="H19:I19"/>
    <mergeCell ref="E29:G30"/>
  </mergeCells>
  <phoneticPr fontId="8" type="noConversion"/>
  <conditionalFormatting sqref="I68:I73 I16">
    <cfRule type="expression" dxfId="2" priority="6" stopIfTrue="1">
      <formula>Nb_sat="0 satellite"</formula>
    </cfRule>
  </conditionalFormatting>
  <conditionalFormatting sqref="D18:E18">
    <cfRule type="expression" dxfId="1" priority="2" stopIfTrue="1">
      <formula>IF(Propu="Cariacou",0,1)</formula>
    </cfRule>
  </conditionalFormatting>
  <conditionalFormatting sqref="F18:I19">
    <cfRule type="expression" dxfId="0" priority="1" stopIfTrue="1">
      <formula>IF(Propu="Cariacou",1,0)</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214</vt:i4>
      </vt:variant>
    </vt:vector>
  </HeadingPairs>
  <TitlesOfParts>
    <vt:vector size="222"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dlnr@protonmail.com</cp:lastModifiedBy>
  <cp:lastPrinted>2011-11-08T21:12:34Z</cp:lastPrinted>
  <dcterms:created xsi:type="dcterms:W3CDTF">2008-11-03T20:48:06Z</dcterms:created>
  <dcterms:modified xsi:type="dcterms:W3CDTF">2022-12-15T15:24:39Z</dcterms:modified>
</cp:coreProperties>
</file>